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orey\Downloads\"/>
    </mc:Choice>
  </mc:AlternateContent>
  <xr:revisionPtr revIDLastSave="0" documentId="13_ncr:1_{AFB008AD-A625-4BBA-9EA5-CB92BE1C9449}" xr6:coauthVersionLast="47" xr6:coauthVersionMax="47" xr10:uidLastSave="{00000000-0000-0000-0000-000000000000}"/>
  <bookViews>
    <workbookView xWindow="-28920" yWindow="-6315" windowWidth="29040" windowHeight="15720" xr2:uid="{00000000-000D-0000-FFFF-FFFF00000000}"/>
  </bookViews>
  <sheets>
    <sheet name="ACDC" sheetId="1" r:id="rId1"/>
  </sheets>
  <calcPr calcId="181029"/>
</workbook>
</file>

<file path=xl/calcChain.xml><?xml version="1.0" encoding="utf-8"?>
<calcChain xmlns="http://schemas.openxmlformats.org/spreadsheetml/2006/main">
  <c r="R69" i="1" l="1"/>
  <c r="Q69" i="1"/>
  <c r="P69" i="1"/>
  <c r="O69" i="1"/>
  <c r="N69" i="1"/>
  <c r="M69" i="1"/>
  <c r="R67" i="1"/>
  <c r="Q67" i="1"/>
  <c r="P67" i="1"/>
  <c r="O67" i="1"/>
  <c r="N67" i="1"/>
  <c r="M67" i="1"/>
  <c r="R66" i="1"/>
  <c r="Q66" i="1"/>
  <c r="P66" i="1"/>
  <c r="O66" i="1"/>
  <c r="N66" i="1"/>
  <c r="M66" i="1"/>
  <c r="R62" i="1"/>
  <c r="Q62" i="1"/>
  <c r="P62" i="1"/>
  <c r="O62" i="1"/>
  <c r="N62" i="1"/>
  <c r="M62" i="1"/>
  <c r="R60" i="1"/>
  <c r="Q60" i="1"/>
  <c r="P60" i="1"/>
  <c r="O60" i="1"/>
  <c r="N60" i="1"/>
  <c r="M60" i="1"/>
  <c r="R59" i="1"/>
  <c r="Q59" i="1"/>
  <c r="P59" i="1"/>
  <c r="O59" i="1"/>
  <c r="N59" i="1"/>
  <c r="M59" i="1"/>
  <c r="U55" i="1"/>
  <c r="T55" i="1"/>
  <c r="S55" i="1"/>
  <c r="R55" i="1"/>
  <c r="Q55" i="1"/>
  <c r="P55" i="1"/>
  <c r="O55" i="1"/>
  <c r="N55" i="1"/>
  <c r="M55" i="1"/>
  <c r="U53" i="1"/>
  <c r="T53" i="1"/>
  <c r="S53" i="1"/>
  <c r="R53" i="1"/>
  <c r="Q53" i="1"/>
  <c r="P53" i="1"/>
  <c r="P54" i="1" s="1"/>
  <c r="O53" i="1"/>
  <c r="N53" i="1"/>
  <c r="M53" i="1"/>
  <c r="U52" i="1"/>
  <c r="T52" i="1"/>
  <c r="S52" i="1"/>
  <c r="R52" i="1"/>
  <c r="Q52" i="1"/>
  <c r="P52" i="1"/>
  <c r="O52" i="1"/>
  <c r="N52" i="1"/>
  <c r="M52" i="1"/>
  <c r="O48" i="1"/>
  <c r="N48" i="1"/>
  <c r="M48" i="1"/>
  <c r="O46" i="1"/>
  <c r="N46" i="1"/>
  <c r="M46" i="1"/>
  <c r="O45" i="1"/>
  <c r="N45" i="1"/>
  <c r="M45" i="1"/>
  <c r="S40" i="1"/>
  <c r="R40" i="1"/>
  <c r="Q40" i="1"/>
  <c r="P40" i="1"/>
  <c r="O40" i="1"/>
  <c r="N40" i="1"/>
  <c r="M40" i="1"/>
  <c r="S38" i="1"/>
  <c r="R38" i="1"/>
  <c r="Q38" i="1"/>
  <c r="P38" i="1"/>
  <c r="O38" i="1"/>
  <c r="N38" i="1"/>
  <c r="M38" i="1"/>
  <c r="S37" i="1"/>
  <c r="R37" i="1"/>
  <c r="R39" i="1" s="1"/>
  <c r="Q37" i="1"/>
  <c r="P37" i="1"/>
  <c r="O37" i="1"/>
  <c r="N37" i="1"/>
  <c r="M37" i="1"/>
  <c r="R32" i="1"/>
  <c r="Q32" i="1"/>
  <c r="P32" i="1"/>
  <c r="O32" i="1"/>
  <c r="N32" i="1"/>
  <c r="M32" i="1"/>
  <c r="R30" i="1"/>
  <c r="Q30" i="1"/>
  <c r="P30" i="1"/>
  <c r="O30" i="1"/>
  <c r="N30" i="1"/>
  <c r="M30" i="1"/>
  <c r="R29" i="1"/>
  <c r="Q29" i="1"/>
  <c r="P29" i="1"/>
  <c r="O29" i="1"/>
  <c r="N29" i="1"/>
  <c r="M29" i="1"/>
  <c r="R24" i="1"/>
  <c r="Q24" i="1"/>
  <c r="P24" i="1"/>
  <c r="O24" i="1"/>
  <c r="N24" i="1"/>
  <c r="M24" i="1"/>
  <c r="R22" i="1"/>
  <c r="R23" i="1" s="1"/>
  <c r="Q22" i="1"/>
  <c r="P22" i="1"/>
  <c r="O22" i="1"/>
  <c r="N22" i="1"/>
  <c r="M22" i="1"/>
  <c r="R21" i="1"/>
  <c r="Q21" i="1"/>
  <c r="P21" i="1"/>
  <c r="O21" i="1"/>
  <c r="N21" i="1"/>
  <c r="M21" i="1"/>
  <c r="R16" i="1"/>
  <c r="Q16" i="1"/>
  <c r="P16" i="1"/>
  <c r="O16" i="1"/>
  <c r="N16" i="1"/>
  <c r="M16" i="1"/>
  <c r="R14" i="1"/>
  <c r="Q14" i="1"/>
  <c r="P14" i="1"/>
  <c r="O14" i="1"/>
  <c r="N14" i="1"/>
  <c r="M14" i="1"/>
  <c r="R13" i="1"/>
  <c r="Q13" i="1"/>
  <c r="P13" i="1"/>
  <c r="O13" i="1"/>
  <c r="N13" i="1"/>
  <c r="M13" i="1"/>
  <c r="M47" i="1" l="1"/>
  <c r="B47" i="1" s="1"/>
  <c r="M68" i="1"/>
  <c r="B70" i="1" s="1"/>
  <c r="M15" i="1"/>
  <c r="R15" i="1"/>
  <c r="G23" i="1"/>
  <c r="P31" i="1"/>
  <c r="E31" i="1" s="1"/>
  <c r="O47" i="1"/>
  <c r="D46" i="1" s="1"/>
  <c r="B24" i="1"/>
  <c r="Q31" i="1"/>
  <c r="F31" i="1" s="1"/>
  <c r="P15" i="1"/>
  <c r="E16" i="1" s="1"/>
  <c r="Q39" i="1"/>
  <c r="F39" i="1" s="1"/>
  <c r="M23" i="1"/>
  <c r="B22" i="1" s="1"/>
  <c r="N47" i="1"/>
  <c r="P39" i="1"/>
  <c r="E40" i="1" s="1"/>
  <c r="P61" i="1"/>
  <c r="E61" i="1" s="1"/>
  <c r="O23" i="1"/>
  <c r="D23" i="1" s="1"/>
  <c r="R31" i="1"/>
  <c r="G30" i="1" s="1"/>
  <c r="M61" i="1"/>
  <c r="B63" i="1" s="1"/>
  <c r="O39" i="1"/>
  <c r="D39" i="1" s="1"/>
  <c r="O54" i="1"/>
  <c r="D53" i="1" s="1"/>
  <c r="N31" i="1"/>
  <c r="E53" i="1"/>
  <c r="Q61" i="1"/>
  <c r="F60" i="1" s="1"/>
  <c r="O68" i="1"/>
  <c r="D68" i="1" s="1"/>
  <c r="O31" i="1"/>
  <c r="D30" i="1" s="1"/>
  <c r="S54" i="1"/>
  <c r="H55" i="1" s="1"/>
  <c r="R61" i="1"/>
  <c r="G60" i="1" s="1"/>
  <c r="P68" i="1"/>
  <c r="E68" i="1" s="1"/>
  <c r="C47" i="1"/>
  <c r="E38" i="1"/>
  <c r="Q15" i="1"/>
  <c r="F14" i="1" s="1"/>
  <c r="Q23" i="1"/>
  <c r="F23" i="1" s="1"/>
  <c r="M31" i="1"/>
  <c r="B34" i="1" s="1"/>
  <c r="N39" i="1"/>
  <c r="C40" i="1" s="1"/>
  <c r="T54" i="1"/>
  <c r="I55" i="1" s="1"/>
  <c r="O61" i="1"/>
  <c r="D60" i="1" s="1"/>
  <c r="R68" i="1"/>
  <c r="G67" i="1" s="1"/>
  <c r="M54" i="1"/>
  <c r="B54" i="1" s="1"/>
  <c r="U54" i="1"/>
  <c r="J55" i="1" s="1"/>
  <c r="N15" i="1"/>
  <c r="N54" i="1"/>
  <c r="C54" i="1" s="1"/>
  <c r="E54" i="1"/>
  <c r="O15" i="1"/>
  <c r="D17" i="1" s="1"/>
  <c r="N68" i="1"/>
  <c r="C70" i="1" s="1"/>
  <c r="E32" i="1"/>
  <c r="E30" i="1"/>
  <c r="S39" i="1"/>
  <c r="H38" i="1" s="1"/>
  <c r="Q54" i="1"/>
  <c r="F53" i="1" s="1"/>
  <c r="N23" i="1"/>
  <c r="C24" i="1" s="1"/>
  <c r="P23" i="1"/>
  <c r="E22" i="1" s="1"/>
  <c r="M39" i="1"/>
  <c r="B40" i="1" s="1"/>
  <c r="R54" i="1"/>
  <c r="G54" i="1" s="1"/>
  <c r="N61" i="1"/>
  <c r="C63" i="1" s="1"/>
  <c r="Q68" i="1"/>
  <c r="F67" i="1" s="1"/>
  <c r="G14" i="1"/>
  <c r="G15" i="1"/>
  <c r="B48" i="1"/>
  <c r="C33" i="1"/>
  <c r="F38" i="1"/>
  <c r="C68" i="1"/>
  <c r="G38" i="1"/>
  <c r="G39" i="1"/>
  <c r="E67" i="1"/>
  <c r="B26" i="1"/>
  <c r="B25" i="1"/>
  <c r="G22" i="1"/>
  <c r="B42" i="1"/>
  <c r="B41" i="1"/>
  <c r="B39" i="1"/>
  <c r="C46" i="1"/>
  <c r="D55" i="1"/>
  <c r="C31" i="1"/>
  <c r="C34" i="1"/>
  <c r="F22" i="1"/>
  <c r="B23" i="1"/>
  <c r="F24" i="1"/>
  <c r="E55" i="1"/>
  <c r="D56" i="1"/>
  <c r="D14" i="1"/>
  <c r="C30" i="1"/>
  <c r="E14" i="1"/>
  <c r="C32" i="1"/>
  <c r="B62" i="1" l="1"/>
  <c r="B49" i="1"/>
  <c r="B46" i="1"/>
  <c r="E41" i="1"/>
  <c r="B32" i="1"/>
  <c r="B60" i="1"/>
  <c r="E39" i="1"/>
  <c r="C17" i="1"/>
  <c r="C18" i="1"/>
  <c r="C14" i="1"/>
  <c r="C15" i="1"/>
  <c r="C16" i="1"/>
  <c r="B31" i="1"/>
  <c r="B33" i="1"/>
  <c r="D31" i="1"/>
  <c r="B14" i="1"/>
  <c r="B15" i="1"/>
  <c r="B16" i="1"/>
  <c r="B17" i="1"/>
  <c r="B18" i="1"/>
  <c r="D54" i="1"/>
  <c r="E60" i="1"/>
  <c r="F15" i="1"/>
  <c r="C38" i="1"/>
  <c r="D15" i="1"/>
  <c r="F40" i="1"/>
  <c r="B67" i="1"/>
  <c r="B68" i="1"/>
  <c r="B69" i="1"/>
  <c r="D16" i="1"/>
  <c r="C61" i="1"/>
  <c r="E24" i="1"/>
  <c r="B38" i="1"/>
  <c r="C69" i="1"/>
  <c r="C67" i="1"/>
  <c r="F30" i="1"/>
  <c r="D33" i="1"/>
  <c r="D22" i="1"/>
  <c r="E15" i="1"/>
  <c r="C56" i="1"/>
  <c r="D25" i="1"/>
  <c r="C53" i="1"/>
  <c r="D32" i="1"/>
  <c r="F68" i="1"/>
  <c r="C55" i="1"/>
  <c r="B61" i="1"/>
  <c r="C62" i="1"/>
  <c r="B30" i="1"/>
  <c r="I53" i="1"/>
  <c r="H53" i="1"/>
  <c r="H56" i="1"/>
  <c r="I54" i="1"/>
  <c r="D40" i="1"/>
  <c r="C60" i="1"/>
  <c r="H54" i="1"/>
  <c r="D41" i="1"/>
  <c r="G53" i="1"/>
  <c r="D24" i="1"/>
  <c r="D61" i="1"/>
  <c r="D38" i="1"/>
  <c r="D62" i="1"/>
  <c r="J53" i="1"/>
  <c r="C41" i="1"/>
  <c r="B55" i="1"/>
  <c r="B56" i="1"/>
  <c r="C42" i="1"/>
  <c r="D69" i="1"/>
  <c r="E23" i="1"/>
  <c r="D67" i="1"/>
  <c r="J54" i="1"/>
  <c r="C39" i="1"/>
  <c r="C25" i="1"/>
  <c r="F54" i="1"/>
  <c r="C23" i="1"/>
  <c r="F55" i="1"/>
  <c r="B53" i="1"/>
  <c r="C22" i="1"/>
  <c r="C26" i="1"/>
</calcChain>
</file>

<file path=xl/sharedStrings.xml><?xml version="1.0" encoding="utf-8"?>
<sst xmlns="http://schemas.openxmlformats.org/spreadsheetml/2006/main" count="107" uniqueCount="32">
  <si>
    <t>SOLAR PANEL DATA (USER INPUTS)</t>
  </si>
  <si>
    <t>VOC</t>
  </si>
  <si>
    <t>VDC</t>
  </si>
  <si>
    <t>VMP</t>
  </si>
  <si>
    <t>Power</t>
  </si>
  <si>
    <t>Watts</t>
  </si>
  <si>
    <t>Voltage Drop</t>
  </si>
  <si>
    <t>3TBS-4H-AC</t>
  </si>
  <si>
    <t>Panel Count</t>
  </si>
  <si>
    <t>VMP voltage</t>
  </si>
  <si>
    <t>#14 2w/G</t>
  </si>
  <si>
    <t>System Power</t>
  </si>
  <si>
    <t>#12 2w/G</t>
  </si>
  <si>
    <t>Amp Draw</t>
  </si>
  <si>
    <t>#10 2w/G</t>
  </si>
  <si>
    <t>Max Voltage</t>
  </si>
  <si>
    <t>#8 2w/G</t>
  </si>
  <si>
    <t>#6 2w/G</t>
  </si>
  <si>
    <t>6TBS-4H-AC</t>
  </si>
  <si>
    <t>12TBS-4H-AC</t>
  </si>
  <si>
    <t>7TBS-4C-AC</t>
  </si>
  <si>
    <t>13TBS-4C-AC</t>
  </si>
  <si>
    <t>15TBS-4C-AC</t>
  </si>
  <si>
    <t>6 x 2</t>
  </si>
  <si>
    <t>7 x 2</t>
  </si>
  <si>
    <t>8 x 2</t>
  </si>
  <si>
    <t>25TBS-4C-AC</t>
  </si>
  <si>
    <t>40TBS-4C-AC</t>
  </si>
  <si>
    <t>THUNDERBIRD SOLAR</t>
  </si>
  <si>
    <t>AC/DC WIRE SIZING GUIDE</t>
  </si>
  <si>
    <t>Key</t>
  </si>
  <si>
    <t>User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</si>
</sst>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</font>
    <font>
      <b/>
      <sz val="10"/>
      <color rgb="FF0B0F0F"/>
      <name val="Arial"/>
    </font>
    <font>
      <sz val="10"/>
      <color rgb="FF0B0F0F"/>
      <name val="Arial"/>
    </font>
    <font>
      <b/>
      <sz val="16"/>
      <color rgb="FFF2EE58"/>
      <name val="Arial"/>
    </font>
    <font>
      <b/>
      <sz val="11"/>
      <color rgb="FF0B0F0F"/>
      <name val="Arial"/>
    </font>
    <font>
      <b/>
      <sz val="12"/>
      <color rgb="FFF2EE58"/>
      <name val="Arial"/>
    </font>
    <font>
      <b/>
      <sz val="11"/>
      <color rgb="FFF2EE58"/>
      <name val="Arial"/>
    </font>
    <font>
      <b/>
      <sz val="8"/>
      <color rgb="FF626866"/>
      <name val="Arial"/>
    </font>
    <font>
      <sz val="8"/>
      <color rgb="FF626866"/>
      <name val="Arial"/>
    </font>
    <font>
      <b/>
      <sz val="8"/>
      <color rgb="FFFFFFFF"/>
      <name val="Arial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0B0F0F"/>
      </patternFill>
    </fill>
    <fill>
      <patternFill patternType="solid">
        <fgColor rgb="FFF2EE58"/>
      </patternFill>
    </fill>
    <fill>
      <patternFill patternType="solid">
        <fgColor rgb="FFF5F6F3"/>
      </patternFill>
    </fill>
    <fill>
      <patternFill patternType="solid">
        <fgColor rgb="FFFFFFFF"/>
      </patternFill>
    </fill>
    <fill>
      <patternFill patternType="solid">
        <fgColor rgb="FFF7F8F6"/>
      </patternFill>
    </fill>
    <fill>
      <patternFill patternType="solid">
        <fgColor rgb="FF222727"/>
      </patternFill>
    </fill>
    <fill>
      <patternFill patternType="solid">
        <fgColor theme="0"/>
        <bgColor indexed="64"/>
      </patternFill>
    </fill>
    <fill>
      <patternFill patternType="solid">
        <fgColor rgb="FFF2EE58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/>
    </xf>
    <xf numFmtId="1" fontId="8" fillId="7" borderId="0" xfId="0" applyNumberFormat="1" applyFont="1" applyFill="1" applyAlignment="1">
      <alignment vertical="center"/>
    </xf>
    <xf numFmtId="164" fontId="8" fillId="7" borderId="0" xfId="0" applyNumberFormat="1" applyFont="1" applyFill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left" vertical="center"/>
    </xf>
    <xf numFmtId="0" fontId="1" fillId="5" borderId="24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vertical="center"/>
    </xf>
    <xf numFmtId="0" fontId="1" fillId="9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horizontal="left" vertical="center"/>
    </xf>
    <xf numFmtId="0" fontId="4" fillId="10" borderId="0" xfId="0" applyFont="1" applyFill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/>
    </xf>
    <xf numFmtId="0" fontId="1" fillId="4" borderId="2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11" borderId="0" xfId="0" applyFill="1"/>
    <xf numFmtId="0" fontId="11" fillId="0" borderId="0" xfId="0" applyFo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" fillId="11" borderId="2" xfId="0" applyFont="1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Alignment="1" applyProtection="1">
      <alignment horizontal="center" vertical="center"/>
      <protection locked="0"/>
    </xf>
    <xf numFmtId="9" fontId="1" fillId="11" borderId="1" xfId="0" applyNumberFormat="1" applyFont="1" applyFill="1" applyBorder="1" applyAlignment="1" applyProtection="1">
      <alignment horizontal="center" vertical="center"/>
      <protection locked="0"/>
    </xf>
    <xf numFmtId="10" fontId="2" fillId="11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hidden="1"/>
    </xf>
    <xf numFmtId="0" fontId="2" fillId="6" borderId="12" xfId="0" applyFont="1" applyFill="1" applyBorder="1" applyAlignment="1" applyProtection="1">
      <alignment horizontal="center" vertical="center"/>
      <protection hidden="1"/>
    </xf>
    <xf numFmtId="0" fontId="2" fillId="6" borderId="22" xfId="0" applyFont="1" applyFill="1" applyBorder="1" applyAlignment="1" applyProtection="1">
      <alignment horizontal="center" vertical="center"/>
      <protection hidden="1"/>
    </xf>
    <xf numFmtId="0" fontId="2" fillId="6" borderId="13" xfId="0" applyFont="1" applyFill="1" applyBorder="1" applyAlignment="1" applyProtection="1">
      <alignment horizontal="center" vertical="center"/>
      <protection hidden="1"/>
    </xf>
    <xf numFmtId="0" fontId="2" fillId="6" borderId="8" xfId="0" applyFont="1" applyFill="1" applyBorder="1" applyAlignment="1" applyProtection="1">
      <alignment horizontal="center" vertical="center"/>
      <protection hidden="1"/>
    </xf>
    <xf numFmtId="0" fontId="2" fillId="6" borderId="23" xfId="0" applyFont="1" applyFill="1" applyBorder="1" applyAlignment="1" applyProtection="1">
      <alignment horizontal="center" vertical="center"/>
      <protection hidden="1"/>
    </xf>
    <xf numFmtId="0" fontId="2" fillId="6" borderId="25" xfId="0" applyFont="1" applyFill="1" applyBorder="1" applyAlignment="1" applyProtection="1">
      <alignment horizontal="center" vertical="center"/>
      <protection hidden="1"/>
    </xf>
    <xf numFmtId="0" fontId="2" fillId="6" borderId="16" xfId="0" applyFont="1" applyFill="1" applyBorder="1" applyAlignment="1" applyProtection="1">
      <alignment horizontal="center" vertical="center"/>
      <protection hidden="1"/>
    </xf>
    <xf numFmtId="0" fontId="2" fillId="6" borderId="17" xfId="0" applyFont="1" applyFill="1" applyBorder="1" applyAlignment="1" applyProtection="1">
      <alignment horizontal="center" vertical="center"/>
      <protection hidden="1"/>
    </xf>
    <xf numFmtId="0" fontId="2" fillId="9" borderId="8" xfId="0" applyFont="1" applyFill="1" applyBorder="1" applyAlignment="1" applyProtection="1">
      <alignment horizontal="center" vertical="center"/>
      <protection hidden="1"/>
    </xf>
    <xf numFmtId="0" fontId="2" fillId="9" borderId="23" xfId="0" applyFont="1" applyFill="1" applyBorder="1" applyAlignment="1" applyProtection="1">
      <alignment horizontal="center" vertical="center"/>
      <protection hidden="1"/>
    </xf>
    <xf numFmtId="0" fontId="2" fillId="9" borderId="23" xfId="0" applyFont="1" applyFill="1" applyBorder="1" applyAlignment="1" applyProtection="1">
      <alignment vertical="center"/>
      <protection hidden="1"/>
    </xf>
    <xf numFmtId="0" fontId="2" fillId="9" borderId="16" xfId="0" applyFont="1" applyFill="1" applyBorder="1" applyAlignment="1" applyProtection="1">
      <alignment horizontal="center" vertical="center"/>
      <protection hidden="1"/>
    </xf>
    <xf numFmtId="0" fontId="2" fillId="9" borderId="17" xfId="0" applyFont="1" applyFill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EE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177802</xdr:colOff>
      <xdr:row>1</xdr:row>
      <xdr:rowOff>146050</xdr:rowOff>
    </xdr:from>
    <xdr:to>
      <xdr:col>5</xdr:col>
      <xdr:colOff>676350</xdr:colOff>
      <xdr:row>9</xdr:row>
      <xdr:rowOff>117077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05F3DC-10BE-AB80-71DA-023A01257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2" y="330200"/>
          <a:ext cx="1260548" cy="1514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76"/>
  <sheetViews>
    <sheetView showGridLines="0" tabSelected="1" workbookViewId="0">
      <selection activeCell="F15" sqref="F15"/>
    </sheetView>
  </sheetViews>
  <sheetFormatPr defaultRowHeight="14.5" x14ac:dyDescent="0.35"/>
  <cols>
    <col min="1" max="1" width="16" customWidth="1"/>
    <col min="2" max="7" width="11" customWidth="1"/>
    <col min="8" max="8" width="10" customWidth="1"/>
    <col min="9" max="9" width="18.26953125" customWidth="1"/>
    <col min="10" max="10" width="10" customWidth="1"/>
    <col min="11" max="11" width="4" hidden="1" customWidth="1"/>
    <col min="12" max="12" width="14" hidden="1" customWidth="1"/>
    <col min="13" max="21" width="10" hidden="1" customWidth="1"/>
    <col min="22" max="22" width="0" hidden="1" customWidth="1"/>
  </cols>
  <sheetData>
    <row r="2" spans="1:23" x14ac:dyDescent="0.35">
      <c r="A2" s="18" t="s">
        <v>28</v>
      </c>
      <c r="B2" s="18"/>
      <c r="C2" s="18"/>
      <c r="D2" s="18"/>
      <c r="E2" s="42"/>
      <c r="F2" s="42"/>
      <c r="G2" s="42"/>
    </row>
    <row r="3" spans="1:23" x14ac:dyDescent="0.35">
      <c r="A3" s="18"/>
      <c r="B3" s="18"/>
      <c r="C3" s="18"/>
      <c r="D3" s="18"/>
      <c r="E3" s="42"/>
      <c r="F3" s="42"/>
      <c r="G3" s="42"/>
      <c r="H3" s="44" t="s">
        <v>30</v>
      </c>
    </row>
    <row r="4" spans="1:23" ht="19.5" customHeight="1" x14ac:dyDescent="0.35">
      <c r="A4" s="35" t="s">
        <v>29</v>
      </c>
      <c r="B4" s="35"/>
      <c r="C4" s="35"/>
      <c r="D4" s="35"/>
      <c r="E4" s="42"/>
      <c r="F4" s="42"/>
      <c r="G4" s="42"/>
      <c r="H4" s="43"/>
      <c r="I4" s="47" t="s">
        <v>31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15" thickBot="1" x14ac:dyDescent="0.4">
      <c r="A5" s="35"/>
      <c r="B5" s="35"/>
      <c r="C5" s="35"/>
      <c r="D5" s="35"/>
      <c r="E5" s="42"/>
      <c r="F5" s="42"/>
      <c r="G5" s="42"/>
      <c r="I5" s="46"/>
    </row>
    <row r="6" spans="1:23" ht="16" customHeight="1" thickBot="1" x14ac:dyDescent="0.4">
      <c r="A6" s="39" t="s">
        <v>0</v>
      </c>
      <c r="B6" s="40"/>
      <c r="C6" s="40"/>
      <c r="D6" s="41"/>
      <c r="E6" s="42"/>
      <c r="F6" s="42"/>
      <c r="G6" s="4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3" ht="14" customHeight="1" x14ac:dyDescent="0.35">
      <c r="A7" s="14" t="s">
        <v>1</v>
      </c>
      <c r="B7" s="15"/>
      <c r="C7" s="48">
        <v>48</v>
      </c>
      <c r="D7" s="4" t="s">
        <v>2</v>
      </c>
      <c r="E7" s="42"/>
      <c r="F7" s="42"/>
      <c r="G7" s="4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3" ht="14" customHeight="1" x14ac:dyDescent="0.35">
      <c r="A8" s="16" t="s">
        <v>3</v>
      </c>
      <c r="B8" s="17"/>
      <c r="C8" s="49">
        <v>40</v>
      </c>
      <c r="D8" s="5" t="s">
        <v>2</v>
      </c>
      <c r="E8" s="42"/>
      <c r="F8" s="42"/>
      <c r="G8" s="4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ht="14" customHeight="1" x14ac:dyDescent="0.35">
      <c r="A9" s="16" t="s">
        <v>4</v>
      </c>
      <c r="B9" s="17"/>
      <c r="C9" s="49">
        <v>400</v>
      </c>
      <c r="D9" s="5" t="s">
        <v>5</v>
      </c>
      <c r="E9" s="42"/>
      <c r="F9" s="42"/>
      <c r="G9" s="4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ht="14" customHeight="1" x14ac:dyDescent="0.35">
      <c r="A10" s="16" t="s">
        <v>6</v>
      </c>
      <c r="B10" s="17"/>
      <c r="C10" s="50">
        <v>0.06</v>
      </c>
      <c r="D10" s="51"/>
      <c r="E10" s="42"/>
      <c r="F10" s="42"/>
      <c r="G10" s="4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3" ht="15" thickBo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ht="14.65" customHeight="1" x14ac:dyDescent="0.35">
      <c r="A12" s="19" t="s">
        <v>7</v>
      </c>
      <c r="B12" s="20"/>
      <c r="C12" s="20"/>
      <c r="D12" s="20"/>
      <c r="E12" s="20"/>
      <c r="F12" s="20"/>
      <c r="G12" s="21"/>
      <c r="H12" s="2"/>
      <c r="I12" s="2"/>
      <c r="J12" s="2"/>
      <c r="K12" s="2"/>
      <c r="L12" s="12" t="s">
        <v>8</v>
      </c>
      <c r="M12" s="12">
        <v>2</v>
      </c>
      <c r="N12" s="12">
        <v>3</v>
      </c>
      <c r="O12" s="12">
        <v>4</v>
      </c>
      <c r="P12" s="12">
        <v>5</v>
      </c>
      <c r="Q12" s="12">
        <v>6</v>
      </c>
      <c r="R12" s="12">
        <v>7</v>
      </c>
      <c r="S12" s="13"/>
      <c r="T12" s="13"/>
      <c r="U12" s="13"/>
    </row>
    <row r="13" spans="1:23" ht="13.4" customHeight="1" x14ac:dyDescent="0.35">
      <c r="A13" s="22" t="s">
        <v>8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23">
        <v>7</v>
      </c>
      <c r="H13" s="2"/>
      <c r="I13" s="2"/>
      <c r="J13" s="2"/>
      <c r="K13" s="2"/>
      <c r="L13" s="9" t="s">
        <v>9</v>
      </c>
      <c r="M13" s="10">
        <f>B13*C8*0.95</f>
        <v>76</v>
      </c>
      <c r="N13" s="10">
        <f>C13*C8*0.95</f>
        <v>114</v>
      </c>
      <c r="O13" s="10">
        <f>D13*C8*0.95</f>
        <v>152</v>
      </c>
      <c r="P13" s="10">
        <f>E13*C8*0.95</f>
        <v>190</v>
      </c>
      <c r="Q13" s="10">
        <f>F13*C8*0.95</f>
        <v>228</v>
      </c>
      <c r="R13" s="10">
        <f>G13*C8*0.95</f>
        <v>266</v>
      </c>
      <c r="S13" s="9"/>
      <c r="T13" s="9"/>
      <c r="U13" s="9"/>
    </row>
    <row r="14" spans="1:23" x14ac:dyDescent="0.35">
      <c r="A14" s="24" t="s">
        <v>10</v>
      </c>
      <c r="B14" s="52">
        <f t="shared" ref="B14:G14" si="0">IF(M16="CANT", "Too much V", ROUNDDOWN(
    ($C$10 * (B13 * $C$8 * 0.95)) /
    (2 * M15 * 0.002525),
-1))</f>
        <v>80</v>
      </c>
      <c r="C14" s="53">
        <f t="shared" si="0"/>
        <v>160</v>
      </c>
      <c r="D14" s="53">
        <f t="shared" si="0"/>
        <v>290</v>
      </c>
      <c r="E14" s="53">
        <f t="shared" si="0"/>
        <v>450</v>
      </c>
      <c r="F14" s="53">
        <f t="shared" si="0"/>
        <v>650</v>
      </c>
      <c r="G14" s="54">
        <f t="shared" si="0"/>
        <v>880</v>
      </c>
      <c r="H14" s="2"/>
      <c r="I14" s="2"/>
      <c r="J14" s="2"/>
      <c r="K14" s="2"/>
      <c r="L14" s="9" t="s">
        <v>11</v>
      </c>
      <c r="M14" s="9">
        <f>MIN(B13 * C9, 900)</f>
        <v>800</v>
      </c>
      <c r="N14" s="9">
        <f>MIN(C13 * C9, 900)</f>
        <v>900</v>
      </c>
      <c r="O14" s="9">
        <f>MIN(D13 * C9, 900)</f>
        <v>900</v>
      </c>
      <c r="P14" s="9">
        <f>MIN(E13 * C9, 900)</f>
        <v>900</v>
      </c>
      <c r="Q14" s="9">
        <f>MIN(F13 * C9, 900)</f>
        <v>900</v>
      </c>
      <c r="R14" s="9">
        <f>MIN(G13 * C9, 900)</f>
        <v>900</v>
      </c>
      <c r="S14" s="9"/>
      <c r="T14" s="9"/>
      <c r="U14" s="9"/>
    </row>
    <row r="15" spans="1:23" x14ac:dyDescent="0.35">
      <c r="A15" s="24" t="s">
        <v>12</v>
      </c>
      <c r="B15" s="55">
        <f t="shared" ref="B15:G15" si="1">IF(M16="CANT", "Too much V", ROUNDDOWN(
    ($C$10 * (B13 * $C$8 * 0.95)) /
    (2 * M15 * 0.001588),
-1))</f>
        <v>120</v>
      </c>
      <c r="C15" s="56">
        <f t="shared" si="1"/>
        <v>250</v>
      </c>
      <c r="D15" s="56">
        <f t="shared" si="1"/>
        <v>460</v>
      </c>
      <c r="E15" s="56">
        <f t="shared" si="1"/>
        <v>720</v>
      </c>
      <c r="F15" s="56">
        <f t="shared" si="1"/>
        <v>1030</v>
      </c>
      <c r="G15" s="57">
        <f t="shared" si="1"/>
        <v>1410</v>
      </c>
      <c r="H15" s="2"/>
      <c r="I15" s="2"/>
      <c r="J15" s="2"/>
      <c r="K15" s="2"/>
      <c r="L15" s="9" t="s">
        <v>13</v>
      </c>
      <c r="M15" s="11">
        <f>MIN((M14 / M13) * 1.05, 12)</f>
        <v>11.05263157894737</v>
      </c>
      <c r="N15" s="11">
        <f t="shared" ref="N15:Q15" si="2">MIN((N14 / N13) * 1.05, 12)</f>
        <v>8.2894736842105257</v>
      </c>
      <c r="O15" s="11">
        <f t="shared" si="2"/>
        <v>6.2171052631578956</v>
      </c>
      <c r="P15" s="11">
        <f t="shared" si="2"/>
        <v>4.9736842105263159</v>
      </c>
      <c r="Q15" s="11">
        <f t="shared" si="2"/>
        <v>4.1447368421052628</v>
      </c>
      <c r="R15" s="11">
        <f>MIN((R14 / R13) * 1.05, 12)</f>
        <v>3.5526315789473686</v>
      </c>
      <c r="S15" s="9"/>
      <c r="T15" s="9"/>
      <c r="U15" s="9"/>
    </row>
    <row r="16" spans="1:23" x14ac:dyDescent="0.35">
      <c r="A16" s="24" t="s">
        <v>14</v>
      </c>
      <c r="B16" s="55">
        <f>IF(M16="CANT", "Too much V", ROUNDDOWN(
    ($C$10 * (B13 * $C$8 * 0.95)) /
    (2 * M15 * 0.000999),
-1))</f>
        <v>200</v>
      </c>
      <c r="C16" s="56">
        <f>IF(N16="CANT", "Too much V", ROUNDDOWN(
    ($C$10 * (C13 * $C$8 * 0.95)) /
    (2 * N15 * 0.000999),
-1))</f>
        <v>410</v>
      </c>
      <c r="D16" s="56">
        <f>IF(O16="CANT", "Too much V", ROUNDDOWN(
    ($C$10 * (D13 * $C$8 * 0.95)) /
    (2 * O15 * 0.000999),
-1))</f>
        <v>730</v>
      </c>
      <c r="E16" s="56">
        <f>IF(P16="CANT", "Too much V", ROUNDDOWN(
    ($C$10 * (E13 * $C$8 * 0.95)) /
    (2 * P15 * 0.000999),
-1))</f>
        <v>1140</v>
      </c>
      <c r="F16" s="56"/>
      <c r="G16" s="57"/>
      <c r="H16" s="2"/>
      <c r="I16" s="2"/>
      <c r="J16" s="2"/>
      <c r="K16" s="2"/>
      <c r="L16" s="9" t="s">
        <v>15</v>
      </c>
      <c r="M16" s="10">
        <f t="shared" ref="M16:Q16" si="3">IF($C$7 * M12 * 1.05 &gt; 415, "CANT", $C$7 * M12 * 1.05)</f>
        <v>100.80000000000001</v>
      </c>
      <c r="N16" s="10">
        <f t="shared" si="3"/>
        <v>151.20000000000002</v>
      </c>
      <c r="O16" s="10">
        <f t="shared" si="3"/>
        <v>201.60000000000002</v>
      </c>
      <c r="P16" s="10">
        <f t="shared" si="3"/>
        <v>252</v>
      </c>
      <c r="Q16" s="10">
        <f t="shared" si="3"/>
        <v>302.40000000000003</v>
      </c>
      <c r="R16" s="10">
        <f>IF($C$7 * R12 * 1.05 &gt; 415, "CANT", $C$7 * R12 * 1.05)</f>
        <v>352.8</v>
      </c>
      <c r="S16" s="10"/>
      <c r="T16" s="9"/>
      <c r="U16" s="9"/>
    </row>
    <row r="17" spans="1:21" x14ac:dyDescent="0.35">
      <c r="A17" s="24" t="s">
        <v>16</v>
      </c>
      <c r="B17" s="55">
        <f>IF(M16="CANT", "Too much V", ROUNDDOWN(
    ($C$10 * (B13 * $C$8 * 0.95)) /
    (2 * M15 * 0.0006282),
-1))</f>
        <v>320</v>
      </c>
      <c r="C17" s="56">
        <f>IF(N16="CANT", "Too much V", ROUNDDOWN(
    ($C$10 * (C13 * $C$8 * 0.95)) /
    (2 * N15 * 0.0006282),
-1))</f>
        <v>650</v>
      </c>
      <c r="D17" s="56">
        <f>IF(O16="CANT", "Too much V", ROUNDDOWN(
    ($C$10 * (D13 * $C$8 * 0.95)) /
    (2 * O15 * 0.0006282),
-1))</f>
        <v>1160</v>
      </c>
      <c r="E17" s="56"/>
      <c r="F17" s="56"/>
      <c r="G17" s="57"/>
      <c r="H17" s="2"/>
      <c r="I17" s="2"/>
      <c r="J17" s="2"/>
      <c r="K17" s="2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5" thickBot="1" x14ac:dyDescent="0.4">
      <c r="A18" s="25" t="s">
        <v>17</v>
      </c>
      <c r="B18" s="58">
        <f>IF(N16="CANT", "Too much V", ROUNDDOWN(
    ($C$10 * (B13 * $C$8 * 0.95)) /
    (2 * M15 * 0.0003951),
-1))</f>
        <v>520</v>
      </c>
      <c r="C18" s="59">
        <f>IF(N16="CANT", "Too much V", ROUNDDOWN(
    ($C$10 * (C13 * $C$8 * 0.95)) /
    (2 * N15 * 0.0003951),
-1))</f>
        <v>1040</v>
      </c>
      <c r="D18" s="59"/>
      <c r="E18" s="59"/>
      <c r="F18" s="59"/>
      <c r="G18" s="60"/>
      <c r="H18" s="2"/>
      <c r="I18" s="2"/>
      <c r="J18" s="2"/>
      <c r="K18" s="2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5" thickBo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4.65" customHeight="1" x14ac:dyDescent="0.35">
      <c r="A20" s="19" t="s">
        <v>18</v>
      </c>
      <c r="B20" s="20"/>
      <c r="C20" s="20"/>
      <c r="D20" s="20"/>
      <c r="E20" s="20"/>
      <c r="F20" s="20"/>
      <c r="G20" s="21"/>
      <c r="H20" s="2"/>
      <c r="I20" s="2"/>
      <c r="J20" s="2"/>
      <c r="K20" s="2"/>
      <c r="L20" s="12" t="s">
        <v>8</v>
      </c>
      <c r="M20" s="12">
        <v>2</v>
      </c>
      <c r="N20" s="12">
        <v>3</v>
      </c>
      <c r="O20" s="12">
        <v>4</v>
      </c>
      <c r="P20" s="12">
        <v>5</v>
      </c>
      <c r="Q20" s="12">
        <v>6</v>
      </c>
      <c r="R20" s="12">
        <v>7</v>
      </c>
      <c r="S20" s="13"/>
      <c r="T20" s="13"/>
      <c r="U20" s="13"/>
    </row>
    <row r="21" spans="1:21" ht="13.4" customHeight="1" x14ac:dyDescent="0.35">
      <c r="A21" s="22" t="s">
        <v>8</v>
      </c>
      <c r="B21" s="6">
        <v>2</v>
      </c>
      <c r="C21" s="6">
        <v>3</v>
      </c>
      <c r="D21" s="6">
        <v>4</v>
      </c>
      <c r="E21" s="6">
        <v>5</v>
      </c>
      <c r="F21" s="6">
        <v>6</v>
      </c>
      <c r="G21" s="23">
        <v>7</v>
      </c>
      <c r="H21" s="2"/>
      <c r="I21" s="2"/>
      <c r="J21" s="2"/>
      <c r="K21" s="2"/>
      <c r="L21" s="9" t="s">
        <v>9</v>
      </c>
      <c r="M21" s="10">
        <f>B21*C8*0.95</f>
        <v>76</v>
      </c>
      <c r="N21" s="10">
        <f>C21*C8*0.95</f>
        <v>114</v>
      </c>
      <c r="O21" s="10">
        <f>D21*C8*0.95</f>
        <v>152</v>
      </c>
      <c r="P21" s="10">
        <f>E21*C8*0.95</f>
        <v>190</v>
      </c>
      <c r="Q21" s="10">
        <f>F21*C8*0.95</f>
        <v>228</v>
      </c>
      <c r="R21" s="10">
        <f>G21*C8*0.95</f>
        <v>266</v>
      </c>
      <c r="S21" s="9"/>
      <c r="T21" s="9"/>
      <c r="U21" s="9"/>
    </row>
    <row r="22" spans="1:21" x14ac:dyDescent="0.35">
      <c r="A22" s="24" t="s">
        <v>10</v>
      </c>
      <c r="B22" s="52">
        <f t="shared" ref="B22:G22" si="4">IF(M24="CANT", "Too much V", ROUNDDOWN(
    ($C$10 * (B21 * $C$8 * 0.95)) /
    (2 * M23 * 0.002525),
-1))</f>
        <v>80</v>
      </c>
      <c r="C22" s="53">
        <f t="shared" si="4"/>
        <v>120</v>
      </c>
      <c r="D22" s="53">
        <f t="shared" si="4"/>
        <v>210</v>
      </c>
      <c r="E22" s="53">
        <f t="shared" si="4"/>
        <v>340</v>
      </c>
      <c r="F22" s="53">
        <f t="shared" si="4"/>
        <v>490</v>
      </c>
      <c r="G22" s="54">
        <f t="shared" si="4"/>
        <v>660</v>
      </c>
      <c r="H22" s="2"/>
      <c r="I22" s="2"/>
      <c r="J22" s="2"/>
      <c r="K22" s="2"/>
      <c r="L22" s="9" t="s">
        <v>11</v>
      </c>
      <c r="M22" s="9">
        <f>MIN(B21 * C9, 1200)</f>
        <v>800</v>
      </c>
      <c r="N22" s="9">
        <f>MIN(C21 * C9, 1200)</f>
        <v>1200</v>
      </c>
      <c r="O22" s="9">
        <f>MIN(D21 * C9, 1200)</f>
        <v>1200</v>
      </c>
      <c r="P22" s="9">
        <f>MIN(E21 * C9, 1200)</f>
        <v>1200</v>
      </c>
      <c r="Q22" s="9">
        <f>MIN(F21 * C9, 1200)</f>
        <v>1200</v>
      </c>
      <c r="R22" s="9">
        <f>MIN(G21 * C9, 1200)</f>
        <v>1200</v>
      </c>
      <c r="S22" s="9"/>
      <c r="T22" s="9"/>
      <c r="U22" s="9"/>
    </row>
    <row r="23" spans="1:21" x14ac:dyDescent="0.35">
      <c r="A23" s="24" t="s">
        <v>12</v>
      </c>
      <c r="B23" s="55">
        <f t="shared" ref="B23:G23" si="5">IF(M24="CANT", "Too much V", ROUNDDOWN(
    ($C$10 * (B21 * $C$8 * 0.95)) /
    (2 * M23 * 0.001588),
-1))</f>
        <v>120</v>
      </c>
      <c r="C23" s="56">
        <f t="shared" si="5"/>
        <v>190</v>
      </c>
      <c r="D23" s="56">
        <f t="shared" si="5"/>
        <v>340</v>
      </c>
      <c r="E23" s="56">
        <f t="shared" si="5"/>
        <v>540</v>
      </c>
      <c r="F23" s="56">
        <f t="shared" si="5"/>
        <v>770</v>
      </c>
      <c r="G23" s="57">
        <f t="shared" si="5"/>
        <v>1060</v>
      </c>
      <c r="H23" s="2"/>
      <c r="I23" s="2"/>
      <c r="J23" s="2"/>
      <c r="K23" s="2"/>
      <c r="L23" s="9" t="s">
        <v>13</v>
      </c>
      <c r="M23" s="11">
        <f>MIN((M22 / M21) * 1.05, 12)</f>
        <v>11.05263157894737</v>
      </c>
      <c r="N23" s="11">
        <f t="shared" ref="N23" si="6">MIN((N22 / N21) * 1.05, 12)</f>
        <v>11.05263157894737</v>
      </c>
      <c r="O23" s="11">
        <f t="shared" ref="O23" si="7">MIN((O22 / O21) * 1.05, 12)</f>
        <v>8.2894736842105257</v>
      </c>
      <c r="P23" s="11">
        <f t="shared" ref="P23" si="8">MIN((P22 / P21) * 1.05, 12)</f>
        <v>6.6315789473684212</v>
      </c>
      <c r="Q23" s="11">
        <f t="shared" ref="Q23" si="9">MIN((Q22 / Q21) * 1.05, 12)</f>
        <v>5.526315789473685</v>
      </c>
      <c r="R23" s="11">
        <f>MIN((R22 / R21) * 1.05, 12)</f>
        <v>4.7368421052631584</v>
      </c>
      <c r="S23" s="9"/>
      <c r="T23" s="9"/>
      <c r="U23" s="9"/>
    </row>
    <row r="24" spans="1:21" x14ac:dyDescent="0.35">
      <c r="A24" s="24" t="s">
        <v>14</v>
      </c>
      <c r="B24" s="55">
        <f>IF(M24="CANT", "Too much V", ROUNDDOWN(
    ($C$10 * (B21 * $C$8 * 0.95)) /
    (2 * M23 * 0.000999),
-1))</f>
        <v>200</v>
      </c>
      <c r="C24" s="56">
        <f>IF(N24="CANT", "Too much V", ROUNDDOWN(
    ($C$10 * (C21 * $C$8 * 0.95)) /
    (2 * N23 * 0.000999),
-1))</f>
        <v>300</v>
      </c>
      <c r="D24" s="56">
        <f>IF(O24="CANT", "Too much V", ROUNDDOWN(
    ($C$10 * (D21 * $C$8 * 0.95)) /
    (2 * O23 * 0.000999),
-1))</f>
        <v>550</v>
      </c>
      <c r="E24" s="56">
        <f>IF(P24="CANT", "Too much V", ROUNDDOWN(
    ($C$10 * (E21 * $C$8 * 0.95)) /
    (2 * P23 * 0.000999),
-1))</f>
        <v>860</v>
      </c>
      <c r="F24" s="56">
        <f>IF(Q24="CANT", "Too much V", ROUNDDOWN(
    ($C$10 * (F21 * $C$8 * 0.95)) /
    (2 * Q23 * 0.000999),
-1))</f>
        <v>1230</v>
      </c>
      <c r="G24" s="57"/>
      <c r="H24" s="2"/>
      <c r="I24" s="2"/>
      <c r="J24" s="2"/>
      <c r="K24" s="2"/>
      <c r="L24" s="9" t="s">
        <v>15</v>
      </c>
      <c r="M24" s="10">
        <f t="shared" ref="M24:Q24" si="10">IF($C$7 * M20 * 1.05 &gt; 415, "CANT", $C$7 * M20 * 1.05)</f>
        <v>100.80000000000001</v>
      </c>
      <c r="N24" s="10">
        <f t="shared" si="10"/>
        <v>151.20000000000002</v>
      </c>
      <c r="O24" s="10">
        <f t="shared" si="10"/>
        <v>201.60000000000002</v>
      </c>
      <c r="P24" s="10">
        <f t="shared" si="10"/>
        <v>252</v>
      </c>
      <c r="Q24" s="10">
        <f t="shared" si="10"/>
        <v>302.40000000000003</v>
      </c>
      <c r="R24" s="10">
        <f>IF($C$7 * R20 * 1.05 &gt; 415, "CANT", $C$7 * R20 * 1.05)</f>
        <v>352.8</v>
      </c>
      <c r="S24" s="9"/>
      <c r="T24" s="9"/>
      <c r="U24" s="9"/>
    </row>
    <row r="25" spans="1:21" x14ac:dyDescent="0.35">
      <c r="A25" s="24" t="s">
        <v>16</v>
      </c>
      <c r="B25" s="55">
        <f>IF(M24="CANT", "Too much V", ROUNDDOWN(
    ($C$10 * (B21 * $C$8 * 0.95)) /
    (2 * M23 * 0.0006282),
-1))</f>
        <v>320</v>
      </c>
      <c r="C25" s="56">
        <f>IF(N24="CANT", "Too much V", ROUNDDOWN(
    ($C$10 * (C21 * $C$8 * 0.95)) /
    (2 * N23 * 0.0006282),
-1))</f>
        <v>490</v>
      </c>
      <c r="D25" s="56">
        <f>IF(O24="CANT", "Too much V", ROUNDDOWN(
    ($C$10 * (D21 * $C$8 * 0.95)) /
    (2 * O23 * 0.0006282),
-1))</f>
        <v>870</v>
      </c>
      <c r="E25" s="56"/>
      <c r="F25" s="56"/>
      <c r="G25" s="57"/>
      <c r="H25" s="2"/>
      <c r="I25" s="2"/>
      <c r="J25" s="2"/>
      <c r="K25" s="2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5" thickBot="1" x14ac:dyDescent="0.4">
      <c r="A26" s="25" t="s">
        <v>17</v>
      </c>
      <c r="B26" s="58">
        <f>IF(M24="CANT", "Too much V", ROUNDDOWN(
    ($C$10 * (B21 * $C$8 * 0.95)) /
    (2 * M23 * 0.0003951),
-1))</f>
        <v>520</v>
      </c>
      <c r="C26" s="59">
        <f>IF(N24="CANT", "Too much V", ROUNDDOWN(
    ($C$10 * (C21 * $C$8 * 0.95)) /
    (2 * N23 * 0.0003951),
-1))</f>
        <v>780</v>
      </c>
      <c r="D26" s="59"/>
      <c r="E26" s="59"/>
      <c r="F26" s="59"/>
      <c r="G26" s="60"/>
      <c r="H26" s="2"/>
      <c r="I26" s="2"/>
      <c r="J26" s="2"/>
      <c r="K26" s="2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5" thickBo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4.65" customHeight="1" x14ac:dyDescent="0.35">
      <c r="A28" s="26" t="s">
        <v>19</v>
      </c>
      <c r="B28" s="27"/>
      <c r="C28" s="27"/>
      <c r="D28" s="27"/>
      <c r="E28" s="27"/>
      <c r="F28" s="27"/>
      <c r="G28" s="28"/>
      <c r="H28" s="2"/>
      <c r="I28" s="2"/>
      <c r="J28" s="2"/>
      <c r="K28" s="2"/>
      <c r="L28" s="12" t="s">
        <v>8</v>
      </c>
      <c r="M28" s="12">
        <v>2</v>
      </c>
      <c r="N28" s="12">
        <v>3</v>
      </c>
      <c r="O28" s="12">
        <v>4</v>
      </c>
      <c r="P28" s="12">
        <v>5</v>
      </c>
      <c r="Q28" s="12">
        <v>6</v>
      </c>
      <c r="R28" s="12">
        <v>7</v>
      </c>
      <c r="S28" s="13"/>
      <c r="T28" s="13"/>
      <c r="U28" s="13"/>
    </row>
    <row r="29" spans="1:21" ht="13.4" customHeight="1" x14ac:dyDescent="0.35">
      <c r="A29" s="22" t="s">
        <v>8</v>
      </c>
      <c r="B29" s="6">
        <v>2</v>
      </c>
      <c r="C29" s="6">
        <v>3</v>
      </c>
      <c r="D29" s="6">
        <v>4</v>
      </c>
      <c r="E29" s="6">
        <v>5</v>
      </c>
      <c r="F29" s="6">
        <v>6</v>
      </c>
      <c r="G29" s="23">
        <v>7</v>
      </c>
      <c r="H29" s="2"/>
      <c r="I29" s="2"/>
      <c r="J29" s="2"/>
      <c r="K29" s="2"/>
      <c r="L29" s="9" t="s">
        <v>9</v>
      </c>
      <c r="M29" s="10">
        <f t="shared" ref="M29:R29" si="11">B29*$C$8*0.95</f>
        <v>76</v>
      </c>
      <c r="N29" s="10">
        <f t="shared" si="11"/>
        <v>114</v>
      </c>
      <c r="O29" s="10">
        <f t="shared" si="11"/>
        <v>152</v>
      </c>
      <c r="P29" s="10">
        <f t="shared" si="11"/>
        <v>190</v>
      </c>
      <c r="Q29" s="10">
        <f t="shared" si="11"/>
        <v>228</v>
      </c>
      <c r="R29" s="10">
        <f t="shared" si="11"/>
        <v>266</v>
      </c>
      <c r="S29" s="9"/>
      <c r="T29" s="9"/>
      <c r="U29" s="9"/>
    </row>
    <row r="30" spans="1:21" x14ac:dyDescent="0.35">
      <c r="A30" s="24" t="s">
        <v>10</v>
      </c>
      <c r="B30" s="52">
        <f t="shared" ref="B30:G30" si="12">IF(M32="CANT", "Too much V", ROUNDDOWN(
    ($C$10 * (B29 * $C$8 * 0.95)) /
    (2 * M31 * 0.002525),
-1))</f>
        <v>80</v>
      </c>
      <c r="C30" s="53">
        <f t="shared" si="12"/>
        <v>120</v>
      </c>
      <c r="D30" s="53">
        <f t="shared" si="12"/>
        <v>180</v>
      </c>
      <c r="E30" s="53">
        <f t="shared" si="12"/>
        <v>290</v>
      </c>
      <c r="F30" s="53">
        <f t="shared" si="12"/>
        <v>420</v>
      </c>
      <c r="G30" s="54">
        <f t="shared" si="12"/>
        <v>570</v>
      </c>
      <c r="H30" s="2"/>
      <c r="I30" s="2"/>
      <c r="J30" s="2"/>
      <c r="K30" s="2"/>
      <c r="L30" s="9" t="s">
        <v>11</v>
      </c>
      <c r="M30" s="9">
        <f t="shared" ref="M30:R30" si="13">MIN(B29 * $C$9, 1400)</f>
        <v>800</v>
      </c>
      <c r="N30" s="9">
        <f t="shared" si="13"/>
        <v>1200</v>
      </c>
      <c r="O30" s="9">
        <f t="shared" si="13"/>
        <v>1400</v>
      </c>
      <c r="P30" s="9">
        <f t="shared" si="13"/>
        <v>1400</v>
      </c>
      <c r="Q30" s="9">
        <f t="shared" si="13"/>
        <v>1400</v>
      </c>
      <c r="R30" s="9">
        <f t="shared" si="13"/>
        <v>1400</v>
      </c>
      <c r="S30" s="9"/>
      <c r="T30" s="9"/>
      <c r="U30" s="9"/>
    </row>
    <row r="31" spans="1:21" x14ac:dyDescent="0.35">
      <c r="A31" s="24" t="s">
        <v>12</v>
      </c>
      <c r="B31" s="55">
        <f>IF(M32="CANT", "Too much V", ROUNDDOWN(
    ($C$10 * (B29 * $C$8 * 0.95)) /
    (2 * M31 * 0.001588),
-1))</f>
        <v>120</v>
      </c>
      <c r="C31" s="56">
        <f>IF(N32="CANT", "Too much V", ROUNDDOWN(
    ($C$10 * (C29 * $C$8 * 0.95)) /
    (2 * N31 * 0.001588),
-1))</f>
        <v>190</v>
      </c>
      <c r="D31" s="56">
        <f>IF(O32="CANT", "Too much V", ROUNDDOWN(
    ($C$10 * (D29 * $C$8 * 0.95)) /
    (2 * O31 * 0.001588),
-1))</f>
        <v>290</v>
      </c>
      <c r="E31" s="56">
        <f>IF(P32="CANT", "Too much V", ROUNDDOWN(
    ($C$10 * (E29 * $C$8 * 0.95)) /
    (2 * P31 * 0.001588),
-1))</f>
        <v>460</v>
      </c>
      <c r="F31" s="56">
        <f>IF(Q32="CANT", "Too much V", ROUNDDOWN(
    ($C$10 * (F29 * $C$8 * 0.95)) /
    (2 * Q31 * 0.001588),
-1))</f>
        <v>660</v>
      </c>
      <c r="G31" s="57"/>
      <c r="H31" s="2"/>
      <c r="I31" s="2"/>
      <c r="J31" s="2"/>
      <c r="K31" s="2"/>
      <c r="L31" s="9" t="s">
        <v>13</v>
      </c>
      <c r="M31" s="11">
        <f>MIN((M30 / M29) * 1.05, 12)</f>
        <v>11.05263157894737</v>
      </c>
      <c r="N31" s="11">
        <f t="shared" ref="N31" si="14">MIN((N30 / N29) * 1.05, 12)</f>
        <v>11.05263157894737</v>
      </c>
      <c r="O31" s="11">
        <f t="shared" ref="O31" si="15">MIN((O30 / O29) * 1.05, 12)</f>
        <v>9.6710526315789487</v>
      </c>
      <c r="P31" s="11">
        <f t="shared" ref="P31" si="16">MIN((P30 / P29) * 1.05, 12)</f>
        <v>7.7368421052631584</v>
      </c>
      <c r="Q31" s="11">
        <f t="shared" ref="Q31" si="17">MIN((Q30 / Q29) * 1.05, 12)</f>
        <v>6.4473684210526327</v>
      </c>
      <c r="R31" s="11">
        <f>MIN((R30 / R29) * 1.05, 12)</f>
        <v>5.526315789473685</v>
      </c>
      <c r="S31" s="9"/>
      <c r="T31" s="9"/>
      <c r="U31" s="9"/>
    </row>
    <row r="32" spans="1:21" x14ac:dyDescent="0.35">
      <c r="A32" s="24" t="s">
        <v>14</v>
      </c>
      <c r="B32" s="55">
        <f>IF(M32="CANT", "Too much V", ROUNDDOWN(
    ($C$10 * (B29 * $C$8 * 0.95)) /
    (2 * M31 * 0.000999),
-1))</f>
        <v>200</v>
      </c>
      <c r="C32" s="56">
        <f>IF(N32="CANT", "Too much V", ROUNDDOWN(
    ($C$10 * (C29 * $C$8 * 0.95)) /
    (2 * N31 * 0.000999),
-1))</f>
        <v>300</v>
      </c>
      <c r="D32" s="56">
        <f>IF(O32="CANT", "Too much V", ROUNDDOWN(
    ($C$10 * (D29 * $C$8 * 0.95)) /
    (2 * O31 * 0.000999),
-1))</f>
        <v>470</v>
      </c>
      <c r="E32" s="56">
        <f>IF(P32="CANT", "Too much V", ROUNDDOWN(
    ($C$10 * (E29 * $C$8 * 0.95)) /
    (2 * P31 * 0.000999),
-1))</f>
        <v>730</v>
      </c>
      <c r="F32" s="56"/>
      <c r="G32" s="57"/>
      <c r="H32" s="2"/>
      <c r="I32" s="2"/>
      <c r="J32" s="2"/>
      <c r="K32" s="2"/>
      <c r="L32" s="9" t="s">
        <v>15</v>
      </c>
      <c r="M32" s="10">
        <f t="shared" ref="M32:R32" si="18">IF($C$7 * M28 * 1.05 &gt; 415, "CANT", $C$7 * M28 * 1.05)</f>
        <v>100.80000000000001</v>
      </c>
      <c r="N32" s="10">
        <f t="shared" si="18"/>
        <v>151.20000000000002</v>
      </c>
      <c r="O32" s="10">
        <f t="shared" si="18"/>
        <v>201.60000000000002</v>
      </c>
      <c r="P32" s="10">
        <f t="shared" si="18"/>
        <v>252</v>
      </c>
      <c r="Q32" s="10">
        <f t="shared" si="18"/>
        <v>302.40000000000003</v>
      </c>
      <c r="R32" s="10">
        <f t="shared" si="18"/>
        <v>352.8</v>
      </c>
      <c r="S32" s="9"/>
      <c r="T32" s="9"/>
      <c r="U32" s="9"/>
    </row>
    <row r="33" spans="1:21" x14ac:dyDescent="0.35">
      <c r="A33" s="24" t="s">
        <v>16</v>
      </c>
      <c r="B33" s="55">
        <f>IF(M32="CANT", "Too much V", ROUNDDOWN(
    ($C$10 * (B29 * $C$8 * 0.95)) /
    (2 * M31 * 0.0006282),
-1))</f>
        <v>320</v>
      </c>
      <c r="C33" s="56">
        <f>IF(N32="CANT", "Too much V", ROUNDDOWN(
    ($C$10 * (C29 * $C$8 * 0.95)) /
    (2 * N31 * 0.0006282),
-1))</f>
        <v>490</v>
      </c>
      <c r="D33" s="56">
        <f>IF(O32="CANT", "Too much V", ROUNDDOWN(
    ($C$10 * (D29 * $C$8 * 0.95)) /
    (2 * O31 * 0.0006282),
-1))</f>
        <v>750</v>
      </c>
      <c r="E33" s="56"/>
      <c r="F33" s="56"/>
      <c r="G33" s="57"/>
      <c r="H33" s="2"/>
      <c r="I33" s="2"/>
      <c r="J33" s="2"/>
      <c r="K33" s="2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5" thickBot="1" x14ac:dyDescent="0.4">
      <c r="A34" s="25" t="s">
        <v>17</v>
      </c>
      <c r="B34" s="58">
        <f>IF(M32="CANT", "Too much V", ROUNDDOWN(
    ($C$10 * (B29 * $C$8 * 0.95)) /
    (2 * M31 * 0.0003951),
-1))</f>
        <v>520</v>
      </c>
      <c r="C34" s="59">
        <f>IF(N32="CANT", "Too much V", ROUNDDOWN(
    ($C$10 * (C29 * $C$8 * 0.95)) /
    (2 * N31 * 0.0003951),
-1))</f>
        <v>780</v>
      </c>
      <c r="D34" s="59"/>
      <c r="E34" s="59"/>
      <c r="F34" s="59"/>
      <c r="G34" s="60"/>
      <c r="H34" s="2"/>
      <c r="I34" s="2"/>
      <c r="J34" s="2"/>
      <c r="K34" s="2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5" thickBo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4.65" customHeight="1" x14ac:dyDescent="0.35">
      <c r="A36" s="19" t="s">
        <v>20</v>
      </c>
      <c r="B36" s="20"/>
      <c r="C36" s="20"/>
      <c r="D36" s="20"/>
      <c r="E36" s="20"/>
      <c r="F36" s="20"/>
      <c r="G36" s="20"/>
      <c r="H36" s="32"/>
      <c r="I36" s="2"/>
      <c r="J36" s="2"/>
      <c r="K36" s="2"/>
      <c r="L36" s="12" t="s">
        <v>8</v>
      </c>
      <c r="M36" s="12">
        <v>2</v>
      </c>
      <c r="N36" s="12">
        <v>3</v>
      </c>
      <c r="O36" s="12">
        <v>4</v>
      </c>
      <c r="P36" s="12">
        <v>5</v>
      </c>
      <c r="Q36" s="12">
        <v>6</v>
      </c>
      <c r="R36" s="12">
        <v>7</v>
      </c>
      <c r="S36" s="12">
        <v>8</v>
      </c>
      <c r="T36" s="13"/>
      <c r="U36" s="13"/>
    </row>
    <row r="37" spans="1:21" ht="13.4" customHeight="1" x14ac:dyDescent="0.35">
      <c r="A37" s="22" t="s">
        <v>8</v>
      </c>
      <c r="B37" s="6">
        <v>2</v>
      </c>
      <c r="C37" s="6">
        <v>3</v>
      </c>
      <c r="D37" s="6">
        <v>4</v>
      </c>
      <c r="E37" s="6">
        <v>5</v>
      </c>
      <c r="F37" s="6">
        <v>6</v>
      </c>
      <c r="G37" s="6">
        <v>7</v>
      </c>
      <c r="H37" s="36">
        <v>8</v>
      </c>
      <c r="I37" s="2"/>
      <c r="J37" s="2"/>
      <c r="K37" s="2"/>
      <c r="L37" s="9" t="s">
        <v>9</v>
      </c>
      <c r="M37" s="10">
        <f t="shared" ref="M37:S37" si="19">B37*$C$8*0.95</f>
        <v>76</v>
      </c>
      <c r="N37" s="10">
        <f t="shared" si="19"/>
        <v>114</v>
      </c>
      <c r="O37" s="10">
        <f t="shared" si="19"/>
        <v>152</v>
      </c>
      <c r="P37" s="10">
        <f t="shared" si="19"/>
        <v>190</v>
      </c>
      <c r="Q37" s="10">
        <f t="shared" si="19"/>
        <v>228</v>
      </c>
      <c r="R37" s="10">
        <f t="shared" si="19"/>
        <v>266</v>
      </c>
      <c r="S37" s="10">
        <f t="shared" si="19"/>
        <v>304</v>
      </c>
      <c r="T37" s="9"/>
      <c r="U37" s="9"/>
    </row>
    <row r="38" spans="1:21" x14ac:dyDescent="0.35">
      <c r="A38" s="33" t="s">
        <v>10</v>
      </c>
      <c r="B38" s="53">
        <f t="shared" ref="B38:G38" si="20">IF(M40="CANT", "Too much V", ROUNDDOWN(
    ($C$10 * (B37 * $C$8 * 0.95)) /
    (2 * M39 * 0.002525),
-1))</f>
        <v>80</v>
      </c>
      <c r="C38" s="53">
        <f t="shared" si="20"/>
        <v>120</v>
      </c>
      <c r="D38" s="53">
        <f t="shared" si="20"/>
        <v>160</v>
      </c>
      <c r="E38" s="53">
        <f t="shared" si="20"/>
        <v>220</v>
      </c>
      <c r="F38" s="53">
        <f t="shared" si="20"/>
        <v>320</v>
      </c>
      <c r="G38" s="61">
        <f t="shared" si="20"/>
        <v>440</v>
      </c>
      <c r="H38" s="62">
        <f>IF(S40="CANT", "Too much V",ROUNDDOWN(
    ($C$10 * (H37 * $C$8 * 0.95)) /
    (2 * S39 * 0.002525),
-1))</f>
        <v>580</v>
      </c>
      <c r="I38" s="2"/>
      <c r="J38" s="2"/>
      <c r="K38" s="2"/>
      <c r="L38" s="9" t="s">
        <v>11</v>
      </c>
      <c r="M38" s="9">
        <f t="shared" ref="M38:S38" si="21">MIN(B37 * $C$9, 1800)</f>
        <v>800</v>
      </c>
      <c r="N38" s="9">
        <f t="shared" si="21"/>
        <v>1200</v>
      </c>
      <c r="O38" s="9">
        <f t="shared" si="21"/>
        <v>1600</v>
      </c>
      <c r="P38" s="9">
        <f t="shared" si="21"/>
        <v>1800</v>
      </c>
      <c r="Q38" s="9">
        <f t="shared" si="21"/>
        <v>1800</v>
      </c>
      <c r="R38" s="9">
        <f t="shared" si="21"/>
        <v>1800</v>
      </c>
      <c r="S38" s="9">
        <f t="shared" si="21"/>
        <v>1800</v>
      </c>
      <c r="T38" s="9"/>
      <c r="U38" s="9"/>
    </row>
    <row r="39" spans="1:21" x14ac:dyDescent="0.35">
      <c r="A39" s="33" t="s">
        <v>12</v>
      </c>
      <c r="B39" s="56">
        <f t="shared" ref="B39:G39" si="22">IF(M40="CANT", "Too much V",ROUNDDOWN(
    ($C$10 * (B37 * $C$8 * 0.95)) /
    (2 * M39 * 0.001588),
-1))</f>
        <v>120</v>
      </c>
      <c r="C39" s="56">
        <f t="shared" si="22"/>
        <v>190</v>
      </c>
      <c r="D39" s="56">
        <f t="shared" si="22"/>
        <v>250</v>
      </c>
      <c r="E39" s="56">
        <f t="shared" si="22"/>
        <v>360</v>
      </c>
      <c r="F39" s="56">
        <f t="shared" si="22"/>
        <v>510</v>
      </c>
      <c r="G39" s="61">
        <f t="shared" si="22"/>
        <v>700</v>
      </c>
      <c r="H39" s="62"/>
      <c r="I39" s="2"/>
      <c r="J39" s="2"/>
      <c r="K39" s="2"/>
      <c r="L39" s="9" t="s">
        <v>13</v>
      </c>
      <c r="M39" s="11">
        <f>MIN((M38 / M37) * 1.05, 12)</f>
        <v>11.05263157894737</v>
      </c>
      <c r="N39" s="11">
        <f t="shared" ref="N39" si="23">MIN((N38 / N37) * 1.05, 12)</f>
        <v>11.05263157894737</v>
      </c>
      <c r="O39" s="11">
        <f t="shared" ref="O39" si="24">MIN((O38 / O37) * 1.05, 12)</f>
        <v>11.05263157894737</v>
      </c>
      <c r="P39" s="11">
        <f t="shared" ref="P39" si="25">MIN((P38 / P37) * 1.05, 12)</f>
        <v>9.9473684210526319</v>
      </c>
      <c r="Q39" s="11">
        <f t="shared" ref="Q39" si="26">MIN((Q38 / Q37) * 1.05, 12)</f>
        <v>8.2894736842105257</v>
      </c>
      <c r="R39" s="11">
        <f>MIN((R38 / R37) * 1.05, 12)</f>
        <v>7.1052631578947372</v>
      </c>
      <c r="S39" s="11">
        <f>MIN((S38 / S37) * 1.05, 12)</f>
        <v>6.2171052631578956</v>
      </c>
      <c r="T39" s="9"/>
      <c r="U39" s="9"/>
    </row>
    <row r="40" spans="1:21" x14ac:dyDescent="0.35">
      <c r="A40" s="33" t="s">
        <v>14</v>
      </c>
      <c r="B40" s="56">
        <f>IF(M40="CANT", "Too much V",ROUNDDOWN(
    ($C$10 * (B37 * $C$8 * 0.95)) /
    (2 * M39 * 0.000999),
-1))</f>
        <v>200</v>
      </c>
      <c r="C40" s="56">
        <f>IF(N40="CANT", "Too much V",ROUNDDOWN(
    ($C$10 * (C37 * $C$8 * 0.95)) /
    (2 * N39 * 0.000999),
-1))</f>
        <v>300</v>
      </c>
      <c r="D40" s="56">
        <f>IF(O40="CANT", "Too much V",ROUNDDOWN(
    ($C$10 * (D37 * $C$8 * 0.95)) /
    (2 * O39 * 0.000999),
-1))</f>
        <v>410</v>
      </c>
      <c r="E40" s="56">
        <f>IF(P40="CANT", "Too much V",ROUNDDOWN(
    ($C$10 * (E37 * $C$8 * 0.95)) /
    (2 * P39 * 0.000999),
-1))</f>
        <v>570</v>
      </c>
      <c r="F40" s="56">
        <f>IF(Q40="CANT", "Too much V",ROUNDDOWN(
    ($C$10 * (F37 * $C$8 * 0.95)) /
    (2 * Q39 * 0.000999),
-1))</f>
        <v>820</v>
      </c>
      <c r="G40" s="61"/>
      <c r="H40" s="62"/>
      <c r="I40" s="2"/>
      <c r="J40" s="2"/>
      <c r="K40" s="2"/>
      <c r="L40" s="9" t="s">
        <v>15</v>
      </c>
      <c r="M40" s="10">
        <f t="shared" ref="M40:S40" si="27">IF($C$7 * M36 * 1.05 &gt; 415, "CANT", $C$7 * M36 * 1.05)</f>
        <v>100.80000000000001</v>
      </c>
      <c r="N40" s="10">
        <f t="shared" si="27"/>
        <v>151.20000000000002</v>
      </c>
      <c r="O40" s="10">
        <f t="shared" si="27"/>
        <v>201.60000000000002</v>
      </c>
      <c r="P40" s="10">
        <f t="shared" si="27"/>
        <v>252</v>
      </c>
      <c r="Q40" s="10">
        <f t="shared" si="27"/>
        <v>302.40000000000003</v>
      </c>
      <c r="R40" s="10">
        <f t="shared" si="27"/>
        <v>352.8</v>
      </c>
      <c r="S40" s="10">
        <f t="shared" si="27"/>
        <v>403.20000000000005</v>
      </c>
      <c r="T40" s="9"/>
      <c r="U40" s="9"/>
    </row>
    <row r="41" spans="1:21" x14ac:dyDescent="0.35">
      <c r="A41" s="33" t="s">
        <v>16</v>
      </c>
      <c r="B41" s="56">
        <f>IF(M40="CANT", "Too much V",ROUNDDOWN(
    ($C$10 * (B37 * $C$8 * 0.95)) /
    (2 * M39 * 0.0006282),
-1))</f>
        <v>320</v>
      </c>
      <c r="C41" s="56">
        <f>IF(N40="CANT", "Too much V",ROUNDDOWN(
    ($C$10 * (C37 * $C$8 * 0.95)) /
    (2 * N39 * 0.0006282),
-1))</f>
        <v>490</v>
      </c>
      <c r="D41" s="56">
        <f>IF(O40="CANT", "Too much V",ROUNDDOWN(
    ($C$10 * (D37 * $C$8 * 0.95)) /
    (2 * O39 * 0.0006282),
-1))</f>
        <v>650</v>
      </c>
      <c r="E41" s="56">
        <f>IF(P40="CANT", "Too much V",ROUNDDOWN(
    ($C$10 * (E37 * $C$8 * 0.95)) /
    (2 * P39 * 0.0006282),
-1))</f>
        <v>910</v>
      </c>
      <c r="F41" s="56"/>
      <c r="G41" s="61"/>
      <c r="H41" s="63"/>
      <c r="I41" s="2"/>
      <c r="J41" s="2"/>
      <c r="K41" s="2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5" thickBot="1" x14ac:dyDescent="0.4">
      <c r="A42" s="34" t="s">
        <v>17</v>
      </c>
      <c r="B42" s="59">
        <f>IF(M40="CANT", "Too much V",ROUNDDOWN(
    ($C$10 * (B37 * $C$8 * 0.95)) /
    (2 * M39 * 0.0003951),
-1))</f>
        <v>520</v>
      </c>
      <c r="C42" s="59">
        <f>IF(N40="CANT", "Too much V",ROUNDDOWN(
    ($C$10 * (C37 * $C$8 * 0.95)) /
    (2 * N39 * 0.0003951),
-1))</f>
        <v>780</v>
      </c>
      <c r="D42" s="59"/>
      <c r="E42" s="59"/>
      <c r="F42" s="59"/>
      <c r="G42" s="64"/>
      <c r="H42" s="65"/>
      <c r="I42" s="3"/>
      <c r="J42" s="2"/>
      <c r="K42" s="2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5" thickBot="1" x14ac:dyDescent="0.4">
      <c r="A43" s="2"/>
      <c r="B43" s="2"/>
      <c r="C43" s="2"/>
      <c r="D43" s="2"/>
      <c r="E43" s="3"/>
      <c r="F43" s="3"/>
      <c r="G43" s="3"/>
      <c r="H43" s="3"/>
      <c r="I43" s="3"/>
      <c r="J43" s="2"/>
      <c r="K43" s="2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4.65" customHeight="1" x14ac:dyDescent="0.35">
      <c r="A44" s="19" t="s">
        <v>21</v>
      </c>
      <c r="B44" s="20"/>
      <c r="C44" s="20"/>
      <c r="D44" s="21"/>
      <c r="E44" s="29"/>
      <c r="F44" s="29"/>
      <c r="G44" s="29"/>
      <c r="H44" s="3"/>
      <c r="I44" s="3"/>
      <c r="J44" s="2"/>
      <c r="K44" s="2"/>
      <c r="L44" s="12" t="s">
        <v>8</v>
      </c>
      <c r="M44" s="12">
        <v>2</v>
      </c>
      <c r="N44" s="12">
        <v>3</v>
      </c>
      <c r="O44" s="12">
        <v>4</v>
      </c>
      <c r="P44" s="13"/>
      <c r="Q44" s="13"/>
      <c r="R44" s="13"/>
      <c r="S44" s="13"/>
      <c r="T44" s="13"/>
      <c r="U44" s="13"/>
    </row>
    <row r="45" spans="1:21" ht="13.4" customHeight="1" x14ac:dyDescent="0.35">
      <c r="A45" s="22" t="s">
        <v>8</v>
      </c>
      <c r="B45" s="6">
        <v>2</v>
      </c>
      <c r="C45" s="6">
        <v>3</v>
      </c>
      <c r="D45" s="23">
        <v>4</v>
      </c>
      <c r="E45" s="30"/>
      <c r="F45" s="30"/>
      <c r="G45" s="30"/>
      <c r="H45" s="3"/>
      <c r="I45" s="3"/>
      <c r="J45" s="2"/>
      <c r="K45" s="2"/>
      <c r="L45" s="9" t="s">
        <v>9</v>
      </c>
      <c r="M45" s="10">
        <f>B45*$C$8*0.95</f>
        <v>76</v>
      </c>
      <c r="N45" s="10">
        <f>C45*$C$8*0.95</f>
        <v>114</v>
      </c>
      <c r="O45" s="10">
        <f>D45*$C$8*0.95</f>
        <v>152</v>
      </c>
      <c r="P45" s="10"/>
      <c r="Q45" s="10"/>
      <c r="R45" s="10"/>
      <c r="S45" s="9"/>
      <c r="T45" s="9"/>
      <c r="U45" s="9"/>
    </row>
    <row r="46" spans="1:21" x14ac:dyDescent="0.35">
      <c r="A46" s="24" t="s">
        <v>10</v>
      </c>
      <c r="B46" s="52">
        <f>IF(M48="CANT", "Too much V", ROUNDDOWN(
    ($C$10 * (B45 * $C$8 * 0.95)) /
    (2 * M47 * 0.002525),
-1))</f>
        <v>100</v>
      </c>
      <c r="C46" s="53">
        <f>IF(N48="CANT", "Too much V", ROUNDDOWN(
    ($C$10 * (C45 * $C$8 * 0.95)) /
    (2 * N47 * 0.002525),
-1))</f>
        <v>240</v>
      </c>
      <c r="D46" s="54">
        <f>IF(O48="CANT", "Too much V", ROUNDDOWN(
    ($C$10 * (D45 * $C$8 * 0.95)) /
    (2 * O47 * 0.002525),
-1))</f>
        <v>430</v>
      </c>
      <c r="E46" s="31"/>
      <c r="F46" s="31"/>
      <c r="G46" s="31"/>
      <c r="H46" s="3"/>
      <c r="I46" s="3"/>
      <c r="J46" s="2"/>
      <c r="K46" s="2"/>
      <c r="L46" s="9" t="s">
        <v>11</v>
      </c>
      <c r="M46" s="9">
        <f>MIN(B45 * $C$9, 600)</f>
        <v>600</v>
      </c>
      <c r="N46" s="9">
        <f>MIN(C45 * $C$9, 600)</f>
        <v>600</v>
      </c>
      <c r="O46" s="9">
        <f>MIN(D45 * $C$9, 600)</f>
        <v>600</v>
      </c>
      <c r="P46" s="9"/>
      <c r="Q46" s="9"/>
      <c r="R46" s="9"/>
      <c r="S46" s="9"/>
      <c r="T46" s="9"/>
      <c r="U46" s="9"/>
    </row>
    <row r="47" spans="1:21" x14ac:dyDescent="0.35">
      <c r="A47" s="24" t="s">
        <v>12</v>
      </c>
      <c r="B47" s="55">
        <f>IF(M48="CANT","Too much V",ROUNDDOWN(
($C$10*(B45*$C$8*0.95))/
(2*M47*0.001588),
-1))</f>
        <v>170</v>
      </c>
      <c r="C47" s="56">
        <f>IF(N48="CANT","Too much V",ROUNDDOWN(
($C$10*(C45*$C$8*0.95))/
(2*N47*0.001588),
-1))</f>
        <v>380</v>
      </c>
      <c r="D47" s="57"/>
      <c r="E47" s="31"/>
      <c r="F47" s="31"/>
      <c r="G47" s="31"/>
      <c r="H47" s="3"/>
      <c r="I47" s="3"/>
      <c r="J47" s="2"/>
      <c r="K47" s="2"/>
      <c r="L47" s="9" t="s">
        <v>13</v>
      </c>
      <c r="M47" s="11">
        <f>MIN((M46 / M45) * 1.05, 12)</f>
        <v>8.2894736842105257</v>
      </c>
      <c r="N47" s="11">
        <f t="shared" ref="N47" si="28">MIN((N46 / N45) * 1.05, 12)</f>
        <v>5.526315789473685</v>
      </c>
      <c r="O47" s="11">
        <f t="shared" ref="O47" si="29">MIN((O46 / O45) * 1.05, 12)</f>
        <v>4.1447368421052628</v>
      </c>
      <c r="P47" s="11"/>
      <c r="Q47" s="11"/>
      <c r="R47" s="11"/>
      <c r="S47" s="9"/>
      <c r="T47" s="9"/>
      <c r="U47" s="9"/>
    </row>
    <row r="48" spans="1:21" x14ac:dyDescent="0.35">
      <c r="A48" s="24" t="s">
        <v>14</v>
      </c>
      <c r="B48" s="55">
        <f>IF(M48="CANT", "Too much V",ROUNDDOWN(
    ($C$10 * (B45 * $C$8 * 0.95)) /
    (2 * M47 * 0.000999),
-1))</f>
        <v>270</v>
      </c>
      <c r="C48" s="56"/>
      <c r="D48" s="57"/>
      <c r="E48" s="31"/>
      <c r="F48" s="31"/>
      <c r="G48" s="31"/>
      <c r="H48" s="3"/>
      <c r="I48" s="3"/>
      <c r="J48" s="2"/>
      <c r="K48" s="2"/>
      <c r="L48" s="9" t="s">
        <v>15</v>
      </c>
      <c r="M48" s="10">
        <f t="shared" ref="M48:O48" si="30">IF($C$7 * M44 * 1.05 &gt; 415, "CANT", $C$7 * M44 * 1.05)</f>
        <v>100.80000000000001</v>
      </c>
      <c r="N48" s="10">
        <f t="shared" si="30"/>
        <v>151.20000000000002</v>
      </c>
      <c r="O48" s="10">
        <f t="shared" si="30"/>
        <v>201.60000000000002</v>
      </c>
      <c r="P48" s="9"/>
      <c r="Q48" s="9"/>
      <c r="R48" s="9"/>
      <c r="S48" s="9"/>
      <c r="T48" s="9"/>
      <c r="U48" s="9"/>
    </row>
    <row r="49" spans="1:21" ht="15" thickBot="1" x14ac:dyDescent="0.4">
      <c r="A49" s="25" t="s">
        <v>16</v>
      </c>
      <c r="B49" s="58">
        <f>IF(M48="CANT", "Too much V",ROUNDDOWN(
    ($C$10 * (B45 * $C$8 * 0.95)) /
    (2 * M47 * 0.0006282),
-1))</f>
        <v>430</v>
      </c>
      <c r="C49" s="59"/>
      <c r="D49" s="60"/>
      <c r="E49" s="31"/>
      <c r="F49" s="31"/>
      <c r="G49" s="31"/>
      <c r="H49" s="3"/>
      <c r="I49" s="3"/>
      <c r="J49" s="2"/>
      <c r="K49" s="2"/>
      <c r="L49" s="9"/>
      <c r="M49" s="10"/>
      <c r="N49" s="9"/>
      <c r="O49" s="9"/>
      <c r="P49" s="9"/>
      <c r="Q49" s="9"/>
      <c r="R49" s="9"/>
      <c r="S49" s="9"/>
      <c r="T49" s="9"/>
      <c r="U49" s="9"/>
    </row>
    <row r="50" spans="1:21" ht="15" thickBot="1" x14ac:dyDescent="0.4">
      <c r="A50" s="37"/>
      <c r="B50" s="7"/>
      <c r="C50" s="7"/>
      <c r="D50" s="7"/>
      <c r="E50" s="7"/>
      <c r="F50" s="7"/>
      <c r="G50" s="7"/>
      <c r="H50" s="3"/>
      <c r="I50" s="3"/>
      <c r="J50" s="3"/>
      <c r="K50" s="2"/>
      <c r="L50" s="9"/>
      <c r="M50" s="9"/>
      <c r="N50" s="9"/>
      <c r="O50" s="9"/>
      <c r="P50" s="9"/>
      <c r="Q50" s="9"/>
      <c r="R50" s="9"/>
      <c r="S50" s="8">
        <v>2</v>
      </c>
      <c r="T50" s="8">
        <v>2</v>
      </c>
      <c r="U50" s="8">
        <v>2</v>
      </c>
    </row>
    <row r="51" spans="1:21" ht="14.65" customHeight="1" x14ac:dyDescent="0.35">
      <c r="A51" s="19" t="s">
        <v>22</v>
      </c>
      <c r="B51" s="20"/>
      <c r="C51" s="20"/>
      <c r="D51" s="20"/>
      <c r="E51" s="20"/>
      <c r="F51" s="20"/>
      <c r="G51" s="20"/>
      <c r="H51" s="20"/>
      <c r="I51" s="20"/>
      <c r="J51" s="21"/>
      <c r="K51" s="2"/>
      <c r="L51" s="12" t="s">
        <v>8</v>
      </c>
      <c r="M51" s="12">
        <v>3</v>
      </c>
      <c r="N51" s="12">
        <v>4</v>
      </c>
      <c r="O51" s="12">
        <v>5</v>
      </c>
      <c r="P51" s="12">
        <v>6</v>
      </c>
      <c r="Q51" s="12">
        <v>7</v>
      </c>
      <c r="R51" s="12">
        <v>8</v>
      </c>
      <c r="S51" s="12">
        <v>6</v>
      </c>
      <c r="T51" s="12">
        <v>7</v>
      </c>
      <c r="U51" s="12">
        <v>8</v>
      </c>
    </row>
    <row r="52" spans="1:21" ht="13.4" customHeight="1" x14ac:dyDescent="0.35">
      <c r="A52" s="22" t="s">
        <v>8</v>
      </c>
      <c r="B52" s="6">
        <v>3</v>
      </c>
      <c r="C52" s="6">
        <v>4</v>
      </c>
      <c r="D52" s="6">
        <v>5</v>
      </c>
      <c r="E52" s="6">
        <v>6</v>
      </c>
      <c r="F52" s="6">
        <v>7</v>
      </c>
      <c r="G52" s="6">
        <v>8</v>
      </c>
      <c r="H52" s="6" t="s">
        <v>23</v>
      </c>
      <c r="I52" s="6" t="s">
        <v>24</v>
      </c>
      <c r="J52" s="38" t="s">
        <v>25</v>
      </c>
      <c r="K52" s="2"/>
      <c r="L52" s="9" t="s">
        <v>9</v>
      </c>
      <c r="M52" s="10">
        <f t="shared" ref="M52:R52" si="31">B52*$C$8*0.95</f>
        <v>114</v>
      </c>
      <c r="N52" s="10">
        <f t="shared" si="31"/>
        <v>152</v>
      </c>
      <c r="O52" s="10">
        <f t="shared" si="31"/>
        <v>190</v>
      </c>
      <c r="P52" s="10">
        <f t="shared" si="31"/>
        <v>228</v>
      </c>
      <c r="Q52" s="10">
        <f t="shared" si="31"/>
        <v>266</v>
      </c>
      <c r="R52" s="10">
        <f t="shared" si="31"/>
        <v>304</v>
      </c>
      <c r="S52" s="10">
        <f>((S51/S50)*C8*0.95)</f>
        <v>114</v>
      </c>
      <c r="T52" s="10">
        <f>((T51/T50)*C8*0.95)</f>
        <v>133</v>
      </c>
      <c r="U52" s="10">
        <f>((U51/U50)*C8*0.95)</f>
        <v>152</v>
      </c>
    </row>
    <row r="53" spans="1:21" x14ac:dyDescent="0.35">
      <c r="A53" s="24" t="s">
        <v>10</v>
      </c>
      <c r="B53" s="52">
        <f>IF(M55="CANT", "Too much V", ROUNDDOWN(
    ($C$10 * (B52 * $C$8 * 0.95)) /
    (2 * M54 * 0.002525),
-1))</f>
        <v>120</v>
      </c>
      <c r="C53" s="53">
        <f>IF(N55="CANT", "Too much V", ROUNDDOWN(
    ($C$10 * (C52 * $C$8 * 0.95)) /
    (2 * N54 * 0.002525),
-1))</f>
        <v>160</v>
      </c>
      <c r="D53" s="53">
        <f>IF(O55="CANT", "Too much V", ROUNDDOWN(
    ($C$10 * (D52 * $C$8 * 0.95)) /
    (2 * O54 * 0.002525),
-1))</f>
        <v>200</v>
      </c>
      <c r="E53" s="53">
        <f>IF(P55="CANT", "Too much V", ROUNDDOWN(
    ($C$10 * (E52 * $C$8 * 0.95)) /
    (2 * P54 * 0.002525),
-1))</f>
        <v>240</v>
      </c>
      <c r="F53" s="53">
        <f>IF(Q55="CANT", "Too much V", ROUNDDOWN(
    ($C$10 * (F52 * $C$8 * 0.95)) /
    (2 * Q54 * 0.002525),
-1))</f>
        <v>280</v>
      </c>
      <c r="G53" s="53">
        <f>IF(R55="CANT", "Too much V",ROUNDDOWN(
    ($C$10 * (G52 * $C$8 * 0.95)) /
    (2 * R54 * 0.002525),
-1))</f>
        <v>340</v>
      </c>
      <c r="H53" s="52">
        <f>IF(S55="CANT", "Too much V", ROUNDDOWN(
    ($C$10 * (S51 * $C$8 * 0.95)) /
    (2 * S54 * 0.002525),
-1))</f>
        <v>220</v>
      </c>
      <c r="I53" s="53">
        <f>IF(T55="CANT", "Too much V", ROUNDDOWN(
    ($C$10 * (T51 * $C$8 * 0.95)) /
    (2 * T54 * 0.002525),
-1))</f>
        <v>260</v>
      </c>
      <c r="J53" s="54">
        <f>IF(U55="CANT", "Too much V", ROUNDDOWN(
    ($C$10 * (U51 * $C$8 * 0.95)) /
    (2 * U54 * 0.002525),
-1))</f>
        <v>300</v>
      </c>
      <c r="K53" s="2"/>
      <c r="L53" s="9" t="s">
        <v>11</v>
      </c>
      <c r="M53" s="9">
        <f t="shared" ref="M53:R53" si="32">MIN(B52 * $C$9, 3000)</f>
        <v>1200</v>
      </c>
      <c r="N53" s="9">
        <f t="shared" si="32"/>
        <v>1600</v>
      </c>
      <c r="O53" s="9">
        <f t="shared" si="32"/>
        <v>2000</v>
      </c>
      <c r="P53" s="9">
        <f t="shared" si="32"/>
        <v>2400</v>
      </c>
      <c r="Q53" s="9">
        <f t="shared" si="32"/>
        <v>2800</v>
      </c>
      <c r="R53" s="9">
        <f t="shared" si="32"/>
        <v>3000</v>
      </c>
      <c r="S53" s="9">
        <f>MIN(S51*S50 * $C$9, 3000)</f>
        <v>3000</v>
      </c>
      <c r="T53" s="9">
        <f>MIN(T51*T50 * $C$9, 3000)</f>
        <v>3000</v>
      </c>
      <c r="U53" s="9">
        <f>MIN(U51*U50 * $C$9, 3000)</f>
        <v>3000</v>
      </c>
    </row>
    <row r="54" spans="1:21" x14ac:dyDescent="0.35">
      <c r="A54" s="24" t="s">
        <v>12</v>
      </c>
      <c r="B54" s="55">
        <f t="shared" ref="B54:G54" si="33">IF(M55="CANT", "Too much V",ROUNDDOWN(
    ($C$10 * (B52 * $C$8 * 0.95)) /
    (2 * M54 * 0.001588),
-1))</f>
        <v>190</v>
      </c>
      <c r="C54" s="56">
        <f t="shared" si="33"/>
        <v>250</v>
      </c>
      <c r="D54" s="56">
        <f t="shared" si="33"/>
        <v>320</v>
      </c>
      <c r="E54" s="56">
        <f t="shared" si="33"/>
        <v>380</v>
      </c>
      <c r="F54" s="56">
        <f t="shared" si="33"/>
        <v>450</v>
      </c>
      <c r="G54" s="56">
        <f t="shared" si="33"/>
        <v>550</v>
      </c>
      <c r="H54" s="55">
        <f>IF(S55="CANT", "Too much V", ROUNDDOWN(
    ($C$10 * (S51 * $C$8 * 0.95)) /
    (2 * S54 * 0.001588),
-1))</f>
        <v>350</v>
      </c>
      <c r="I54" s="56">
        <f>IF(T55="CANT", "Too much V", ROUNDDOWN(
    ($C$10 * (T51 * $C$8 * 0.95)) /
    (2 * T54 * 0.001588),
-1))</f>
        <v>410</v>
      </c>
      <c r="J54" s="57">
        <f>IF(U55="CANT", "Too much V", ROUNDDOWN(
    ($C$10 * (U51 * $C$8 * 0.95)) /
    (2 * U54 * 0.001588),
-1))</f>
        <v>470</v>
      </c>
      <c r="K54" s="2"/>
      <c r="L54" s="9" t="s">
        <v>13</v>
      </c>
      <c r="M54" s="11">
        <f>MIN((M53 / M52) * 1.05, 12)</f>
        <v>11.05263157894737</v>
      </c>
      <c r="N54" s="11">
        <f>MIN((N53 / N52) * 1.05, 12)</f>
        <v>11.05263157894737</v>
      </c>
      <c r="O54" s="11">
        <f t="shared" ref="O54" si="34">MIN((O53 / O52) * 1.05, 12)</f>
        <v>11.05263157894737</v>
      </c>
      <c r="P54" s="11">
        <f t="shared" ref="P54" si="35">MIN((P53 / P52) * 1.05, 12)</f>
        <v>11.05263157894737</v>
      </c>
      <c r="Q54" s="11">
        <f>MIN((Q53 / Q52) * 1.05, 12)</f>
        <v>11.05263157894737</v>
      </c>
      <c r="R54" s="11">
        <f>MIN((R53 / R52) * 1.05, 12)</f>
        <v>10.361842105263158</v>
      </c>
      <c r="S54" s="11">
        <f t="shared" ref="S54" si="36">MIN((S53 / S52) * 1.05, 12)</f>
        <v>12</v>
      </c>
      <c r="T54" s="11">
        <f>MIN((T53 / T52) * 1.05, 12)</f>
        <v>12</v>
      </c>
      <c r="U54" s="11">
        <f>MIN((U53 / U52) * 1.05, 12)</f>
        <v>12</v>
      </c>
    </row>
    <row r="55" spans="1:21" x14ac:dyDescent="0.35">
      <c r="A55" s="24" t="s">
        <v>14</v>
      </c>
      <c r="B55" s="55">
        <f>IF(M55="CANT", "Too much V", ROUNDDOWN(
    ($C$10 * (B52 * $C$8 * 0.95)) /
    (2 * M54 * 0.000999),
-1))</f>
        <v>300</v>
      </c>
      <c r="C55" s="56">
        <f>IF(N55="CANT", "Too much V", ROUNDDOWN(
    ($C$10 * (C52 * $C$8 * 0.95)) /
    (2 * N54 * 0.000999),
-1))</f>
        <v>410</v>
      </c>
      <c r="D55" s="56">
        <f>IF(O55="CANT", "Too much V", ROUNDDOWN(
    ($C$10 * (D52 * $C$8 * 0.95)) /
    (2 * O54 * 0.000999),
-1))</f>
        <v>510</v>
      </c>
      <c r="E55" s="56">
        <f>IF(P55="CANT", "Too much V", ROUNDDOWN(
    ($C$10 * (E52 * $C$8 * 0.95)) /
    (2 * P54 * 0.000999),
-1))</f>
        <v>610</v>
      </c>
      <c r="F55" s="56">
        <f>IF(Q55="CANT", "Too much V", ROUNDDOWN(
    ($C$10 * (F52 * $C$8 * 0.95)) /
    (2 * Q54 * 0.000999),
-1))</f>
        <v>720</v>
      </c>
      <c r="G55" s="56"/>
      <c r="H55" s="55">
        <f>IF(S55="CANT", "Too much V", ROUNDDOWN(
    ($C$10 * (S51 * $C$8 * 0.95)) /
    (2 * S54 * 0.000999),
-1))</f>
        <v>570</v>
      </c>
      <c r="I55" s="56">
        <f>IF(T55="CANT", "Too much V", ROUNDDOWN(
    ($C$10 * (T51 * $C$8 * 0.95)) /
    (2 * T54 * 0.000999),
-1))</f>
        <v>660</v>
      </c>
      <c r="J55" s="57">
        <f>IF(U55="CANT", "Too much V", ROUNDDOWN(
    ($C$10 * (U51 * $C$8 * 0.95)) /
    (2 * U54 * 0.000999),
-1))</f>
        <v>760</v>
      </c>
      <c r="K55" s="2"/>
      <c r="L55" s="9" t="s">
        <v>15</v>
      </c>
      <c r="M55" s="10">
        <f t="shared" ref="M55:R55" si="37">IF($C$7 * M51 * 1.05 &gt; 415, "CANT", $C$7 * M51 * 1.05)</f>
        <v>151.20000000000002</v>
      </c>
      <c r="N55" s="10">
        <f t="shared" si="37"/>
        <v>201.60000000000002</v>
      </c>
      <c r="O55" s="10">
        <f t="shared" si="37"/>
        <v>252</v>
      </c>
      <c r="P55" s="10">
        <f t="shared" si="37"/>
        <v>302.40000000000003</v>
      </c>
      <c r="Q55" s="10">
        <f t="shared" si="37"/>
        <v>352.8</v>
      </c>
      <c r="R55" s="10">
        <f t="shared" si="37"/>
        <v>403.20000000000005</v>
      </c>
      <c r="S55" s="10">
        <f>IF($C$7 * (S51) * 1.05 &gt; 415, "CANT", $C$7 * (S51) * 1.05)</f>
        <v>302.40000000000003</v>
      </c>
      <c r="T55" s="10">
        <f>IF($C$7 * (T51) * 1.05 &gt; 415, "CANT", $C$7 * (T51) * 1.05)</f>
        <v>352.8</v>
      </c>
      <c r="U55" s="10">
        <f>IF($C$7 * (U51) * 1.05 &gt; 415, "CANT", $C$7 * (U51) * 1.05)</f>
        <v>403.20000000000005</v>
      </c>
    </row>
    <row r="56" spans="1:21" ht="15" thickBot="1" x14ac:dyDescent="0.4">
      <c r="A56" s="25" t="s">
        <v>16</v>
      </c>
      <c r="B56" s="58">
        <f>IF(M55="CANT", "Too much V",ROUNDDOWN(
    ($C$10 * (B52 * $C$8 * 0.95)) /
    (2 * M54 * 0.0006282),
-1))</f>
        <v>490</v>
      </c>
      <c r="C56" s="59">
        <f>IF(N55="CANT", "Too much V",ROUNDDOWN(
    ($C$10 * (C52 * $C$8 * 0.95)) /
    (2 * N54 * 0.0006282),
-1))</f>
        <v>650</v>
      </c>
      <c r="D56" s="59">
        <f>IF(O55="CANT", "Too much V",ROUNDDOWN(
    ($C$10 * (D52 * $C$8 * 0.95)) /
    (2 * O54 * 0.0006282),
-1))</f>
        <v>820</v>
      </c>
      <c r="E56" s="59"/>
      <c r="F56" s="59"/>
      <c r="G56" s="59"/>
      <c r="H56" s="58">
        <f>IF(S55="CANT", "Too much V", ROUNDDOWN(
    ($C$10 * (S51 * $C$8 * 0.95)) /
    (2 * S54 * 0.0006282),
-1))</f>
        <v>900</v>
      </c>
      <c r="I56" s="59"/>
      <c r="J56" s="60"/>
      <c r="K56" s="2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5" thickBot="1" x14ac:dyDescent="0.4">
      <c r="A57" s="37"/>
      <c r="B57" s="7"/>
      <c r="C57" s="7"/>
      <c r="D57" s="7"/>
      <c r="E57" s="7"/>
      <c r="F57" s="7"/>
      <c r="G57" s="7"/>
      <c r="H57" s="2"/>
      <c r="I57" s="2"/>
      <c r="J57" s="2"/>
      <c r="K57" s="2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4.65" customHeight="1" x14ac:dyDescent="0.35">
      <c r="A58" s="19" t="s">
        <v>26</v>
      </c>
      <c r="B58" s="20"/>
      <c r="C58" s="20"/>
      <c r="D58" s="20"/>
      <c r="E58" s="20"/>
      <c r="F58" s="20"/>
      <c r="G58" s="21"/>
      <c r="H58" s="2"/>
      <c r="I58" s="2"/>
      <c r="J58" s="2"/>
      <c r="K58" s="2"/>
      <c r="L58" s="12" t="s">
        <v>8</v>
      </c>
      <c r="M58" s="12">
        <v>2</v>
      </c>
      <c r="N58" s="12">
        <v>3</v>
      </c>
      <c r="O58" s="12">
        <v>4</v>
      </c>
      <c r="P58" s="12">
        <v>5</v>
      </c>
      <c r="Q58" s="12">
        <v>6</v>
      </c>
      <c r="R58" s="12">
        <v>7</v>
      </c>
      <c r="S58" s="13"/>
      <c r="T58" s="13"/>
      <c r="U58" s="13"/>
    </row>
    <row r="59" spans="1:21" ht="13.4" customHeight="1" x14ac:dyDescent="0.35">
      <c r="A59" s="22" t="s">
        <v>8</v>
      </c>
      <c r="B59" s="6">
        <v>2</v>
      </c>
      <c r="C59" s="6">
        <v>3</v>
      </c>
      <c r="D59" s="6">
        <v>4</v>
      </c>
      <c r="E59" s="6">
        <v>5</v>
      </c>
      <c r="F59" s="6">
        <v>6</v>
      </c>
      <c r="G59" s="23">
        <v>7</v>
      </c>
      <c r="H59" s="2"/>
      <c r="I59" s="2"/>
      <c r="J59" s="2"/>
      <c r="K59" s="2"/>
      <c r="L59" s="9" t="s">
        <v>9</v>
      </c>
      <c r="M59" s="10">
        <f t="shared" ref="M59:R59" si="38">B59*$C$8*0.95</f>
        <v>76</v>
      </c>
      <c r="N59" s="10">
        <f t="shared" si="38"/>
        <v>114</v>
      </c>
      <c r="O59" s="10">
        <f t="shared" si="38"/>
        <v>152</v>
      </c>
      <c r="P59" s="10">
        <f t="shared" si="38"/>
        <v>190</v>
      </c>
      <c r="Q59" s="10">
        <f t="shared" si="38"/>
        <v>228</v>
      </c>
      <c r="R59" s="10">
        <f t="shared" si="38"/>
        <v>266</v>
      </c>
      <c r="S59" s="9"/>
      <c r="T59" s="9"/>
      <c r="U59" s="9"/>
    </row>
    <row r="60" spans="1:21" x14ac:dyDescent="0.35">
      <c r="A60" s="24" t="s">
        <v>10</v>
      </c>
      <c r="B60" s="52">
        <f t="shared" ref="B60:G60" si="39">IF(M62="CANT", "Too much V", ROUNDDOWN(
    ($C$10 * (B59 * $C$8 * 0.95)) /
    (2 * M61 * 0.002525),
-1))</f>
        <v>80</v>
      </c>
      <c r="C60" s="53">
        <f t="shared" si="39"/>
        <v>120</v>
      </c>
      <c r="D60" s="53">
        <f t="shared" si="39"/>
        <v>210</v>
      </c>
      <c r="E60" s="53">
        <f t="shared" si="39"/>
        <v>340</v>
      </c>
      <c r="F60" s="53">
        <f t="shared" si="39"/>
        <v>490</v>
      </c>
      <c r="G60" s="54">
        <f t="shared" si="39"/>
        <v>660</v>
      </c>
      <c r="H60" s="2"/>
      <c r="I60" s="2"/>
      <c r="J60" s="2"/>
      <c r="K60" s="2"/>
      <c r="L60" s="9" t="s">
        <v>11</v>
      </c>
      <c r="M60" s="9">
        <f t="shared" ref="M60:R60" si="40">MIN(B59 * $C$9, 1200)</f>
        <v>800</v>
      </c>
      <c r="N60" s="9">
        <f t="shared" si="40"/>
        <v>1200</v>
      </c>
      <c r="O60" s="9">
        <f t="shared" si="40"/>
        <v>1200</v>
      </c>
      <c r="P60" s="9">
        <f t="shared" si="40"/>
        <v>1200</v>
      </c>
      <c r="Q60" s="9">
        <f t="shared" si="40"/>
        <v>1200</v>
      </c>
      <c r="R60" s="9">
        <f t="shared" si="40"/>
        <v>1200</v>
      </c>
      <c r="S60" s="9"/>
      <c r="T60" s="9"/>
      <c r="U60" s="9"/>
    </row>
    <row r="61" spans="1:21" x14ac:dyDescent="0.35">
      <c r="A61" s="24" t="s">
        <v>12</v>
      </c>
      <c r="B61" s="55">
        <f>IF(M62="CANT", "Too much V", ROUNDDOWN(
    ($C$10 * (B59 * $C$8 * 0.95)) /
    (2 * M61 * 0.001588),
-1))</f>
        <v>120</v>
      </c>
      <c r="C61" s="56">
        <f>IF(N62="CANT", "Too much V", ROUNDDOWN(
    ($C$10 * (C59 * $C$8 * 0.95)) /
    (2 * N61 * 0.001588),
-1))</f>
        <v>190</v>
      </c>
      <c r="D61" s="56">
        <f>IF(O62="CANT", "Too much V", ROUNDDOWN(
    ($C$10 * (D59 * $C$8 * 0.95)) /
    (2 * O61 * 0.001588),
-1))</f>
        <v>340</v>
      </c>
      <c r="E61" s="56">
        <f>IF(P62="CANT", "Too much V", ROUNDDOWN(
    ($C$10 * (E59 * $C$8 * 0.95)) /
    (2 * P61 * 0.001588),
-1))</f>
        <v>540</v>
      </c>
      <c r="F61" s="56"/>
      <c r="G61" s="57"/>
      <c r="H61" s="2"/>
      <c r="I61" s="2"/>
      <c r="J61" s="2"/>
      <c r="K61" s="2"/>
      <c r="L61" s="9" t="s">
        <v>13</v>
      </c>
      <c r="M61" s="11">
        <f>MIN((M60 / M59) * 1.05, 12)</f>
        <v>11.05263157894737</v>
      </c>
      <c r="N61" s="11">
        <f t="shared" ref="N61" si="41">MIN((N60 / N59) * 1.05, 12)</f>
        <v>11.05263157894737</v>
      </c>
      <c r="O61" s="11">
        <f t="shared" ref="O61" si="42">MIN((O60 / O59) * 1.05, 12)</f>
        <v>8.2894736842105257</v>
      </c>
      <c r="P61" s="11">
        <f t="shared" ref="P61" si="43">MIN((P60 / P59) * 1.05, 12)</f>
        <v>6.6315789473684212</v>
      </c>
      <c r="Q61" s="11">
        <f t="shared" ref="Q61" si="44">MIN((Q60 / Q59) * 1.05, 12)</f>
        <v>5.526315789473685</v>
      </c>
      <c r="R61" s="11">
        <f>MIN((R60 / R59) * 1.05, 12)</f>
        <v>4.7368421052631584</v>
      </c>
      <c r="S61" s="9"/>
      <c r="T61" s="9"/>
      <c r="U61" s="9"/>
    </row>
    <row r="62" spans="1:21" x14ac:dyDescent="0.35">
      <c r="A62" s="24" t="s">
        <v>14</v>
      </c>
      <c r="B62" s="55">
        <f>IF(M62="CANT", "Too much V", ROUNDDOWN(
    ($C$10 * (B59 * $C$8 * 0.95)) /
    (2 * M61 * 0.000999),
-1))</f>
        <v>200</v>
      </c>
      <c r="C62" s="56">
        <f>IF(N62="CANT", "Too much V", ROUNDDOWN(
    ($C$10 * (C59 * $C$8 * 0.95)) /
    (2 * N61 * 0.000999),
-1))</f>
        <v>300</v>
      </c>
      <c r="D62" s="56">
        <f>IF(O62="CANT", "Too much V", ROUNDDOWN(
    ($C$10 * (D59 * $C$8 * 0.95)) /
    (2 * O61 * 0.000999),
-1))</f>
        <v>550</v>
      </c>
      <c r="E62" s="56"/>
      <c r="F62" s="56"/>
      <c r="G62" s="57"/>
      <c r="H62" s="2"/>
      <c r="I62" s="2"/>
      <c r="J62" s="2"/>
      <c r="K62" s="2"/>
      <c r="L62" s="9" t="s">
        <v>15</v>
      </c>
      <c r="M62" s="10">
        <f t="shared" ref="M62:R62" si="45">IF($C$7 * M58 * 1.05 &gt; 415, "CANT", $C$7 * M58 * 1.05)</f>
        <v>100.80000000000001</v>
      </c>
      <c r="N62" s="10">
        <f t="shared" si="45"/>
        <v>151.20000000000002</v>
      </c>
      <c r="O62" s="10">
        <f t="shared" si="45"/>
        <v>201.60000000000002</v>
      </c>
      <c r="P62" s="10">
        <f t="shared" si="45"/>
        <v>252</v>
      </c>
      <c r="Q62" s="10">
        <f t="shared" si="45"/>
        <v>302.40000000000003</v>
      </c>
      <c r="R62" s="10">
        <f t="shared" si="45"/>
        <v>352.8</v>
      </c>
      <c r="S62" s="9"/>
      <c r="T62" s="9"/>
      <c r="U62" s="9"/>
    </row>
    <row r="63" spans="1:21" ht="15" thickBot="1" x14ac:dyDescent="0.4">
      <c r="A63" s="25" t="s">
        <v>16</v>
      </c>
      <c r="B63" s="58">
        <f>IF(M62="CANT","Too much V",ROUNDDOWN(
($C$10*(B59*$C$8*0.95))/
(2*M61*0.0006282),
-1))</f>
        <v>320</v>
      </c>
      <c r="C63" s="59">
        <f>IF(N62="CANT","Too much V",ROUNDDOWN(
($C$10*(C59*$C$8*0.95))/
(2*N61*0.0006282),
-1))</f>
        <v>490</v>
      </c>
      <c r="D63" s="59"/>
      <c r="E63" s="59"/>
      <c r="F63" s="59"/>
      <c r="G63" s="60"/>
      <c r="H63" s="2"/>
      <c r="I63" s="2"/>
      <c r="J63" s="2"/>
      <c r="K63" s="2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5" thickBot="1" x14ac:dyDescent="0.4">
      <c r="A64" s="37"/>
      <c r="B64" s="7"/>
      <c r="C64" s="7"/>
      <c r="D64" s="7"/>
      <c r="E64" s="7"/>
      <c r="F64" s="7"/>
      <c r="G64" s="7"/>
      <c r="H64" s="2"/>
      <c r="I64" s="2"/>
      <c r="J64" s="2"/>
      <c r="K64" s="2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4.65" customHeight="1" x14ac:dyDescent="0.35">
      <c r="A65" s="19" t="s">
        <v>27</v>
      </c>
      <c r="B65" s="20"/>
      <c r="C65" s="20"/>
      <c r="D65" s="20"/>
      <c r="E65" s="20"/>
      <c r="F65" s="20"/>
      <c r="G65" s="21"/>
      <c r="H65" s="2"/>
      <c r="I65" s="2"/>
      <c r="J65" s="2"/>
      <c r="K65" s="2"/>
      <c r="L65" s="12" t="s">
        <v>8</v>
      </c>
      <c r="M65" s="12">
        <v>2</v>
      </c>
      <c r="N65" s="12">
        <v>3</v>
      </c>
      <c r="O65" s="12">
        <v>4</v>
      </c>
      <c r="P65" s="12">
        <v>5</v>
      </c>
      <c r="Q65" s="12">
        <v>6</v>
      </c>
      <c r="R65" s="12">
        <v>7</v>
      </c>
      <c r="S65" s="13"/>
      <c r="T65" s="13"/>
      <c r="U65" s="13"/>
    </row>
    <row r="66" spans="1:21" ht="13.4" customHeight="1" x14ac:dyDescent="0.35">
      <c r="A66" s="22" t="s">
        <v>8</v>
      </c>
      <c r="B66" s="6">
        <v>2</v>
      </c>
      <c r="C66" s="6">
        <v>3</v>
      </c>
      <c r="D66" s="6">
        <v>4</v>
      </c>
      <c r="E66" s="6">
        <v>5</v>
      </c>
      <c r="F66" s="6">
        <v>6</v>
      </c>
      <c r="G66" s="23">
        <v>7</v>
      </c>
      <c r="H66" s="2"/>
      <c r="I66" s="2"/>
      <c r="J66" s="2"/>
      <c r="K66" s="2"/>
      <c r="L66" s="9" t="s">
        <v>9</v>
      </c>
      <c r="M66" s="10">
        <f t="shared" ref="M66:R66" si="46">B66*$C$8*0.95</f>
        <v>76</v>
      </c>
      <c r="N66" s="10">
        <f t="shared" si="46"/>
        <v>114</v>
      </c>
      <c r="O66" s="10">
        <f t="shared" si="46"/>
        <v>152</v>
      </c>
      <c r="P66" s="10">
        <f t="shared" si="46"/>
        <v>190</v>
      </c>
      <c r="Q66" s="10">
        <f t="shared" si="46"/>
        <v>228</v>
      </c>
      <c r="R66" s="10">
        <f t="shared" si="46"/>
        <v>266</v>
      </c>
      <c r="S66" s="9"/>
      <c r="T66" s="9"/>
      <c r="U66" s="9"/>
    </row>
    <row r="67" spans="1:21" x14ac:dyDescent="0.35">
      <c r="A67" s="24" t="s">
        <v>10</v>
      </c>
      <c r="B67" s="52">
        <f t="shared" ref="B67:G67" si="47">IF(M69="CANT", "Too much V", ROUNDDOWN(
    ($C$10 * (B66 * $C$8 * 0.95)) /
    (2 * M68 * 0.002525),
-1))</f>
        <v>80</v>
      </c>
      <c r="C67" s="53">
        <f t="shared" si="47"/>
        <v>120</v>
      </c>
      <c r="D67" s="53">
        <f t="shared" si="47"/>
        <v>160</v>
      </c>
      <c r="E67" s="53">
        <f t="shared" si="47"/>
        <v>220</v>
      </c>
      <c r="F67" s="53">
        <f t="shared" si="47"/>
        <v>320</v>
      </c>
      <c r="G67" s="54">
        <f t="shared" si="47"/>
        <v>440</v>
      </c>
      <c r="H67" s="2"/>
      <c r="I67" s="2"/>
      <c r="J67" s="2"/>
      <c r="K67" s="2"/>
      <c r="L67" s="9" t="s">
        <v>11</v>
      </c>
      <c r="M67" s="9">
        <f t="shared" ref="M67:R67" si="48">MIN(B66 * $C$9, 1800)</f>
        <v>800</v>
      </c>
      <c r="N67" s="9">
        <f t="shared" si="48"/>
        <v>1200</v>
      </c>
      <c r="O67" s="9">
        <f t="shared" si="48"/>
        <v>1600</v>
      </c>
      <c r="P67" s="9">
        <f t="shared" si="48"/>
        <v>1800</v>
      </c>
      <c r="Q67" s="9">
        <f t="shared" si="48"/>
        <v>1800</v>
      </c>
      <c r="R67" s="9">
        <f t="shared" si="48"/>
        <v>1800</v>
      </c>
      <c r="S67" s="9"/>
      <c r="T67" s="9"/>
      <c r="U67" s="9"/>
    </row>
    <row r="68" spans="1:21" x14ac:dyDescent="0.35">
      <c r="A68" s="24" t="s">
        <v>12</v>
      </c>
      <c r="B68" s="55">
        <f>IF(M69="CANT","Too much V",ROUNDDOWN(
($C$10*(B66*$C$8*0.95))/
(2*M68*0.001588),
-1))</f>
        <v>120</v>
      </c>
      <c r="C68" s="56">
        <f>IF(N69="CANT","Too much V",ROUNDDOWN(
($C$10*(C66*$C$8*0.95))/
(2*N68*0.001588),
-1))</f>
        <v>190</v>
      </c>
      <c r="D68" s="56">
        <f>IF(O69="CANT","Too much V",ROUNDDOWN(
($C$10*(D66*$C$8*0.95))/
(2*O68*0.001588),
-1))</f>
        <v>250</v>
      </c>
      <c r="E68" s="56">
        <f>IF(P69="CANT","Too much V",ROUNDDOWN(
($C$10*(E66*$C$8*0.95))/
(2*P68*0.001588),
-1))</f>
        <v>360</v>
      </c>
      <c r="F68" s="56">
        <f>IF(Q69="CANT","Too much V",ROUNDDOWN(
($C$10*(F66*$C$8*0.95))/
(2*Q68*0.001588),
-1))</f>
        <v>510</v>
      </c>
      <c r="G68" s="57"/>
      <c r="H68" s="2"/>
      <c r="I68" s="2"/>
      <c r="J68" s="2"/>
      <c r="K68" s="2"/>
      <c r="L68" s="9" t="s">
        <v>13</v>
      </c>
      <c r="M68" s="11">
        <f>MIN((M67 / M66) * 1.05, 12)</f>
        <v>11.05263157894737</v>
      </c>
      <c r="N68" s="11">
        <f t="shared" ref="N68" si="49">MIN((N67 / N66) * 1.05, 12)</f>
        <v>11.05263157894737</v>
      </c>
      <c r="O68" s="11">
        <f t="shared" ref="O68" si="50">MIN((O67 / O66) * 1.05, 12)</f>
        <v>11.05263157894737</v>
      </c>
      <c r="P68" s="11">
        <f t="shared" ref="P68" si="51">MIN((P67 / P66) * 1.05, 12)</f>
        <v>9.9473684210526319</v>
      </c>
      <c r="Q68" s="11">
        <f t="shared" ref="Q68" si="52">MIN((Q67 / Q66) * 1.05, 12)</f>
        <v>8.2894736842105257</v>
      </c>
      <c r="R68" s="11">
        <f>MIN((R67 / R66) * 1.05, 12)</f>
        <v>7.1052631578947372</v>
      </c>
      <c r="S68" s="9"/>
      <c r="T68" s="9"/>
      <c r="U68" s="9"/>
    </row>
    <row r="69" spans="1:21" x14ac:dyDescent="0.35">
      <c r="A69" s="24" t="s">
        <v>14</v>
      </c>
      <c r="B69" s="55">
        <f>IF(M69="CANT","Too much V",ROUNDDOWN(
($C$10*(B66*$C$8*0.95))/
(2*M68*0.000999),
-1))</f>
        <v>200</v>
      </c>
      <c r="C69" s="56">
        <f>IF(N69="CANT","Too much V",ROUNDDOWN(
($C$10*(C66*$C$8*0.95))/
(2*N68*0.000999),
-1))</f>
        <v>300</v>
      </c>
      <c r="D69" s="56">
        <f>IF(O69="CANT","Too much V",ROUNDDOWN(
($C$10*(D66*$C$8*0.95))/
(2*O68*0.000999),
-1))</f>
        <v>410</v>
      </c>
      <c r="E69" s="56"/>
      <c r="F69" s="56"/>
      <c r="G69" s="57"/>
      <c r="H69" s="2"/>
      <c r="I69" s="2"/>
      <c r="J69" s="2"/>
      <c r="K69" s="2"/>
      <c r="L69" s="9" t="s">
        <v>15</v>
      </c>
      <c r="M69" s="10">
        <f t="shared" ref="M69:R69" si="53">IF($C$7 * M65 * 1.05 &gt; 415, "CANT", $C$7 * M65 * 1.05)</f>
        <v>100.80000000000001</v>
      </c>
      <c r="N69" s="10">
        <f t="shared" si="53"/>
        <v>151.20000000000002</v>
      </c>
      <c r="O69" s="10">
        <f t="shared" si="53"/>
        <v>201.60000000000002</v>
      </c>
      <c r="P69" s="10">
        <f t="shared" si="53"/>
        <v>252</v>
      </c>
      <c r="Q69" s="10">
        <f t="shared" si="53"/>
        <v>302.40000000000003</v>
      </c>
      <c r="R69" s="10">
        <f t="shared" si="53"/>
        <v>352.8</v>
      </c>
      <c r="S69" s="9"/>
      <c r="T69" s="9"/>
      <c r="U69" s="9"/>
    </row>
    <row r="70" spans="1:21" ht="15" thickBot="1" x14ac:dyDescent="0.4">
      <c r="A70" s="25" t="s">
        <v>16</v>
      </c>
      <c r="B70" s="58">
        <f>IF(M69="CANT","Too much V",ROUNDDOWN(
($C$10*(B66*$C$8*0.95))/
(2*M68*0.0006282),
-1))</f>
        <v>320</v>
      </c>
      <c r="C70" s="59">
        <f>IF(N69="CANT","Too much V",ROUNDDOWN(
($C$10*(C66*$C$8*0.95))/
(2*N68*0.0006282),
-1))</f>
        <v>490</v>
      </c>
      <c r="D70" s="59"/>
      <c r="E70" s="59"/>
      <c r="F70" s="59"/>
      <c r="G70" s="60"/>
      <c r="H70" s="2"/>
      <c r="I70" s="2"/>
      <c r="J70" s="2"/>
      <c r="K70" s="2"/>
      <c r="L70" s="9"/>
      <c r="M70" s="9"/>
      <c r="N70" s="9"/>
      <c r="O70" s="9"/>
      <c r="P70" s="9"/>
      <c r="Q70" s="9"/>
      <c r="R70" s="9"/>
      <c r="S70" s="9"/>
      <c r="T70" s="9"/>
      <c r="U70" s="9"/>
    </row>
    <row r="76" spans="1:21" x14ac:dyDescent="0.35">
      <c r="K76" s="1"/>
    </row>
  </sheetData>
  <sheetProtection algorithmName="SHA-512" hashValue="OEyRi/PSjRIW5k1lj2OkPj3LCt7T7etwcuY/92MQFjpXhxJe3Ylv8hHKPmhfWCx/QsAQ8MqSS9MyGYEEzOYFcg==" saltValue="iCvCuQ507A38Ze6wiJwJHQ==" spinCount="100000" sheet="1" objects="1" scenarios="1"/>
  <mergeCells count="17">
    <mergeCell ref="E2:G10"/>
    <mergeCell ref="A6:D6"/>
    <mergeCell ref="C10:D10"/>
    <mergeCell ref="A65:G65"/>
    <mergeCell ref="A44:D44"/>
    <mergeCell ref="A51:J51"/>
    <mergeCell ref="A58:G58"/>
    <mergeCell ref="A28:G28"/>
    <mergeCell ref="A12:G12"/>
    <mergeCell ref="A36:H36"/>
    <mergeCell ref="A20:G20"/>
    <mergeCell ref="A7:B7"/>
    <mergeCell ref="A8:B8"/>
    <mergeCell ref="A9:B9"/>
    <mergeCell ref="A10:B10"/>
    <mergeCell ref="A2:D3"/>
    <mergeCell ref="A4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Corey Pratt</cp:lastModifiedBy>
  <dcterms:modified xsi:type="dcterms:W3CDTF">2026-08-31T17:57:27Z</dcterms:modified>
</cp:coreProperties>
</file>